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codeName="DieseArbeitsmappe" defaultThemeVersion="124226"/>
  <mc:AlternateContent xmlns:mc="http://schemas.openxmlformats.org/markup-compatibility/2006">
    <mc:Choice Requires="x15">
      <x15ac:absPath xmlns:x15ac="http://schemas.microsoft.com/office/spreadsheetml/2010/11/ac" url="Y:\"/>
    </mc:Choice>
  </mc:AlternateContent>
  <workbookProtection workbookPassword="C6AA" lockStructure="1"/>
  <bookViews>
    <workbookView minimized="1" xWindow="0" yWindow="0" windowWidth="24920" windowHeight="14410" xr2:uid="{00000000-000D-0000-FFFF-FFFF00000000}"/>
  </bookViews>
  <sheets>
    <sheet name="Ökosteuer 2018" sheetId="56" r:id="rId1"/>
    <sheet name="Ökosteuer 2018 (ohne Sockel)" sheetId="54" r:id="rId2"/>
    <sheet name="Ökosteuer 2017" sheetId="53" r:id="rId3"/>
    <sheet name="Ökosteuer 2017 (ohne Sockel)" sheetId="57" r:id="rId4"/>
    <sheet name="Jahresvergleich 2017 und 2018" sheetId="55" r:id="rId5"/>
    <sheet name="Vergleichsrechner 2017" sheetId="58" state="hidden" r:id="rId6"/>
    <sheet name="Vergleichsrechner 2018" sheetId="59" state="hidden" r:id="rId7"/>
    <sheet name="Ökosteuer 2015" sheetId="37" state="hidden" r:id="rId8"/>
    <sheet name="Ökosteuer 2015 (ohne Sockel)" sheetId="51" state="hidden" r:id="rId9"/>
    <sheet name="Jahresvergleich 2014 und 2015" sheetId="38" state="hidden" r:id="rId10"/>
    <sheet name="Ökosteuer 2014" sheetId="35" state="hidden" r:id="rId11"/>
    <sheet name="Ökosteuer 2012" sheetId="34" state="hidden" r:id="rId12"/>
    <sheet name="Ökosteuer 2012 ohne Sockel" sheetId="31" state="hidden" r:id="rId13"/>
    <sheet name="Vergleichsrechner 2014" sheetId="49" state="hidden" r:id="rId14"/>
    <sheet name="Tabelle1" sheetId="52" state="hidden" r:id="rId15"/>
  </sheets>
  <definedNames>
    <definedName name="_xlnm.Print_Area" localSheetId="9">'Jahresvergleich 2014 und 2015'!$A$1:$D$22</definedName>
    <definedName name="_xlnm.Print_Area" localSheetId="4">'Jahresvergleich 2017 und 2018'!$A$1:$J$22</definedName>
    <definedName name="_xlnm.Print_Area" localSheetId="11">'Ökosteuer 2012'!$A$1:$J$58</definedName>
    <definedName name="_xlnm.Print_Area" localSheetId="12">'Ökosteuer 2012 ohne Sockel'!$A$1:$J$58</definedName>
    <definedName name="_xlnm.Print_Area" localSheetId="10">'Ökosteuer 2014'!$A$1:$J$60</definedName>
    <definedName name="_xlnm.Print_Area" localSheetId="7">'Ökosteuer 2015'!$A$1:$J$60</definedName>
    <definedName name="_xlnm.Print_Area" localSheetId="2">'Ökosteuer 2017'!$A$1:$J$60</definedName>
    <definedName name="_xlnm.Print_Area" localSheetId="0">'Ökosteuer 2018'!$A$1:$J$60</definedName>
    <definedName name="_xlnm.Print_Area" localSheetId="13">'Vergleichsrechner 2014'!$A$1:$J$60</definedName>
    <definedName name="_xlnm.Print_Area" localSheetId="5">'Vergleichsrechner 2017'!$A$1:$J$60</definedName>
    <definedName name="_xlnm.Print_Area" localSheetId="6">'Vergleichsrechner 2018'!$A$1:$J$60</definedName>
  </definedNames>
  <calcPr calcId="171027"/>
</workbook>
</file>

<file path=xl/calcChain.xml><?xml version="1.0" encoding="utf-8"?>
<calcChain xmlns="http://schemas.openxmlformats.org/spreadsheetml/2006/main">
  <c r="C49" i="59" l="1"/>
  <c r="C48" i="59"/>
  <c r="C47" i="59"/>
  <c r="C38" i="59"/>
  <c r="C37" i="59"/>
  <c r="J40" i="59" s="1"/>
  <c r="C36" i="59"/>
  <c r="C35" i="59"/>
  <c r="C34" i="59"/>
  <c r="C33" i="59"/>
  <c r="C32" i="59"/>
  <c r="C31" i="59"/>
  <c r="C30" i="59"/>
  <c r="C29" i="59"/>
  <c r="J32" i="59" s="1"/>
  <c r="C28" i="59"/>
  <c r="C27" i="59"/>
  <c r="C26" i="59"/>
  <c r="J29" i="59" s="1"/>
  <c r="C25" i="59"/>
  <c r="J28" i="59" s="1"/>
  <c r="C24" i="59"/>
  <c r="C23" i="59"/>
  <c r="C22" i="59"/>
  <c r="J25" i="59" s="1"/>
  <c r="C21" i="59"/>
  <c r="C20" i="59"/>
  <c r="C19" i="59"/>
  <c r="C15" i="59"/>
  <c r="C14" i="59"/>
  <c r="C12" i="59"/>
  <c r="C11" i="59"/>
  <c r="C9" i="59"/>
  <c r="J18" i="59" s="1"/>
  <c r="D9" i="55" s="1"/>
  <c r="C8" i="59"/>
  <c r="J17" i="59" s="1"/>
  <c r="D8" i="55" s="1"/>
  <c r="C7" i="59"/>
  <c r="C49" i="58"/>
  <c r="C48" i="58"/>
  <c r="C47" i="58"/>
  <c r="C38" i="58"/>
  <c r="C37" i="58"/>
  <c r="C36" i="58"/>
  <c r="J39" i="58" s="1"/>
  <c r="C35" i="58"/>
  <c r="C34" i="58"/>
  <c r="C33" i="58"/>
  <c r="C32" i="58"/>
  <c r="J35" i="58" s="1"/>
  <c r="C31" i="58"/>
  <c r="C30" i="58"/>
  <c r="C29" i="58"/>
  <c r="C28" i="58"/>
  <c r="J31" i="58" s="1"/>
  <c r="C27" i="58"/>
  <c r="C26" i="58"/>
  <c r="C25" i="58"/>
  <c r="C24" i="58"/>
  <c r="C23" i="58"/>
  <c r="C22" i="58"/>
  <c r="C21" i="58"/>
  <c r="C20" i="58"/>
  <c r="J23" i="58" s="1"/>
  <c r="C19" i="58"/>
  <c r="C15" i="58"/>
  <c r="C14" i="58"/>
  <c r="C12" i="58"/>
  <c r="C11" i="58"/>
  <c r="C9" i="58"/>
  <c r="C8" i="58"/>
  <c r="C7" i="58"/>
  <c r="J15" i="55"/>
  <c r="J37" i="59"/>
  <c r="J33" i="59"/>
  <c r="J26" i="59"/>
  <c r="J38" i="59"/>
  <c r="J41" i="59"/>
  <c r="J39" i="59"/>
  <c r="J35" i="59"/>
  <c r="J34" i="59"/>
  <c r="J31" i="59"/>
  <c r="J27" i="59"/>
  <c r="J23" i="59"/>
  <c r="L11" i="59"/>
  <c r="D17" i="59" s="1"/>
  <c r="L10" i="59"/>
  <c r="D16" i="59" s="1"/>
  <c r="L9" i="59"/>
  <c r="D13" i="59" s="1"/>
  <c r="J50" i="58"/>
  <c r="I16" i="55" s="1"/>
  <c r="J41" i="58"/>
  <c r="J37" i="58"/>
  <c r="J32" i="58"/>
  <c r="J29" i="58"/>
  <c r="J28" i="58"/>
  <c r="J25" i="58"/>
  <c r="J24" i="58"/>
  <c r="J26" i="58"/>
  <c r="J18" i="58"/>
  <c r="I9" i="55" s="1"/>
  <c r="J17" i="58"/>
  <c r="I8" i="55" s="1"/>
  <c r="J40" i="58"/>
  <c r="J38" i="58"/>
  <c r="J34" i="58"/>
  <c r="J33" i="58"/>
  <c r="J27" i="58"/>
  <c r="L11" i="58"/>
  <c r="D17" i="58" s="1"/>
  <c r="L10" i="58"/>
  <c r="D16" i="58" s="1"/>
  <c r="L9" i="58"/>
  <c r="D13" i="58" s="1"/>
  <c r="J53" i="57"/>
  <c r="J50" i="57"/>
  <c r="J47" i="57"/>
  <c r="L47" i="57" s="1"/>
  <c r="C42" i="57"/>
  <c r="J41" i="57"/>
  <c r="J40" i="57"/>
  <c r="J39" i="57"/>
  <c r="J38" i="57"/>
  <c r="J37" i="57"/>
  <c r="J36" i="57"/>
  <c r="J35" i="57"/>
  <c r="J34" i="57"/>
  <c r="J33" i="57"/>
  <c r="J32" i="57"/>
  <c r="J31" i="57"/>
  <c r="J30" i="57"/>
  <c r="J29" i="57"/>
  <c r="J28" i="57"/>
  <c r="J27" i="57"/>
  <c r="J26" i="57"/>
  <c r="J25" i="57"/>
  <c r="J24" i="57"/>
  <c r="J23" i="57"/>
  <c r="J22" i="57"/>
  <c r="J18" i="57"/>
  <c r="J17" i="57"/>
  <c r="D16" i="57"/>
  <c r="D15" i="57" s="1"/>
  <c r="L11" i="57"/>
  <c r="D17" i="57" s="1"/>
  <c r="D14" i="57" s="1"/>
  <c r="L10" i="57"/>
  <c r="C10" i="57"/>
  <c r="J9" i="57" s="1"/>
  <c r="L9" i="57"/>
  <c r="D13" i="57" s="1"/>
  <c r="J53" i="56"/>
  <c r="J50" i="56"/>
  <c r="J16" i="55" s="1"/>
  <c r="J47" i="56"/>
  <c r="L47" i="56" s="1"/>
  <c r="C42" i="56"/>
  <c r="J41" i="56"/>
  <c r="J40" i="56"/>
  <c r="J39" i="56"/>
  <c r="J38" i="56"/>
  <c r="J37" i="56"/>
  <c r="J36" i="56"/>
  <c r="J35" i="56"/>
  <c r="J34" i="56"/>
  <c r="J33" i="56"/>
  <c r="J32" i="56"/>
  <c r="J31" i="56"/>
  <c r="J30" i="56"/>
  <c r="J29" i="56"/>
  <c r="J28" i="56"/>
  <c r="J27" i="56"/>
  <c r="J26" i="56"/>
  <c r="J25" i="56"/>
  <c r="J24" i="56"/>
  <c r="J23" i="56"/>
  <c r="L43" i="56" s="1"/>
  <c r="J22" i="56"/>
  <c r="J18" i="56"/>
  <c r="J9" i="55" s="1"/>
  <c r="J17" i="56"/>
  <c r="J8" i="55" s="1"/>
  <c r="L11" i="56"/>
  <c r="D17" i="56" s="1"/>
  <c r="D14" i="56" s="1"/>
  <c r="L10" i="56"/>
  <c r="D16" i="56" s="1"/>
  <c r="D15" i="56" s="1"/>
  <c r="C10" i="56"/>
  <c r="J7" i="56" s="1"/>
  <c r="J9" i="56" s="1"/>
  <c r="J6" i="55" s="1"/>
  <c r="L9" i="56"/>
  <c r="D13" i="56" s="1"/>
  <c r="M43" i="56" l="1"/>
  <c r="J14" i="55" s="1"/>
  <c r="J43" i="57"/>
  <c r="C42" i="59"/>
  <c r="N43" i="56"/>
  <c r="J12" i="55" s="1"/>
  <c r="J47" i="59"/>
  <c r="L47" i="59" s="1"/>
  <c r="D14" i="59"/>
  <c r="D15" i="59"/>
  <c r="D11" i="59"/>
  <c r="D12" i="59"/>
  <c r="J10" i="56"/>
  <c r="J11" i="56" s="1"/>
  <c r="L13" i="56" s="1"/>
  <c r="J53" i="59"/>
  <c r="J50" i="59"/>
  <c r="D16" i="55" s="1"/>
  <c r="L43" i="59"/>
  <c r="D15" i="55" s="1"/>
  <c r="J30" i="59"/>
  <c r="J36" i="59"/>
  <c r="C10" i="59"/>
  <c r="J22" i="59"/>
  <c r="J24" i="59"/>
  <c r="M43" i="59" s="1"/>
  <c r="D14" i="55" s="1"/>
  <c r="C42" i="58"/>
  <c r="J36" i="58"/>
  <c r="J30" i="58"/>
  <c r="L43" i="58"/>
  <c r="I15" i="55" s="1"/>
  <c r="M43" i="58"/>
  <c r="I14" i="55" s="1"/>
  <c r="J53" i="58"/>
  <c r="J22" i="58"/>
  <c r="J47" i="58"/>
  <c r="L47" i="58" s="1"/>
  <c r="D15" i="58"/>
  <c r="D14" i="58"/>
  <c r="C10" i="58"/>
  <c r="J7" i="58" s="1"/>
  <c r="J9" i="58" s="1"/>
  <c r="I6" i="55" s="1"/>
  <c r="D12" i="58"/>
  <c r="D11" i="58"/>
  <c r="D11" i="57"/>
  <c r="D12" i="57"/>
  <c r="J11" i="57"/>
  <c r="D12" i="56"/>
  <c r="D11" i="56"/>
  <c r="J43" i="56"/>
  <c r="L20" i="55"/>
  <c r="L18" i="55"/>
  <c r="L16" i="55"/>
  <c r="J53" i="54"/>
  <c r="J50" i="54"/>
  <c r="J47" i="54"/>
  <c r="L47" i="54"/>
  <c r="C42" i="54"/>
  <c r="J41" i="54"/>
  <c r="J40" i="54"/>
  <c r="J39" i="54"/>
  <c r="J38" i="54"/>
  <c r="J37" i="54"/>
  <c r="J36" i="54"/>
  <c r="J35" i="54"/>
  <c r="J34" i="54"/>
  <c r="J33" i="54"/>
  <c r="J32" i="54"/>
  <c r="J31" i="54"/>
  <c r="J30" i="54"/>
  <c r="J29" i="54"/>
  <c r="J28" i="54"/>
  <c r="J27" i="54"/>
  <c r="J26" i="54"/>
  <c r="J25" i="54"/>
  <c r="J24" i="54"/>
  <c r="J23" i="54"/>
  <c r="J22" i="54"/>
  <c r="J43" i="54" s="1"/>
  <c r="J18" i="54"/>
  <c r="J17" i="54"/>
  <c r="L11" i="54"/>
  <c r="D17" i="54" s="1"/>
  <c r="D14" i="54" s="1"/>
  <c r="L10" i="54"/>
  <c r="D16" i="54" s="1"/>
  <c r="D15" i="54" s="1"/>
  <c r="C10" i="54"/>
  <c r="L9" i="54"/>
  <c r="D13" i="54" s="1"/>
  <c r="J53" i="53"/>
  <c r="J50" i="53"/>
  <c r="C16" i="55" s="1"/>
  <c r="J47" i="53"/>
  <c r="L47" i="53" s="1"/>
  <c r="C42" i="53"/>
  <c r="J41" i="53"/>
  <c r="J40" i="53"/>
  <c r="J39" i="53"/>
  <c r="J38" i="53"/>
  <c r="J37" i="53"/>
  <c r="J36" i="53"/>
  <c r="J35" i="53"/>
  <c r="J34" i="53"/>
  <c r="J33" i="53"/>
  <c r="J32" i="53"/>
  <c r="J31" i="53"/>
  <c r="J30" i="53"/>
  <c r="J29" i="53"/>
  <c r="J28" i="53"/>
  <c r="J27" i="53"/>
  <c r="J26" i="53"/>
  <c r="J25" i="53"/>
  <c r="J24" i="53"/>
  <c r="J23" i="53"/>
  <c r="L43" i="53" s="1"/>
  <c r="C15" i="55" s="1"/>
  <c r="J22" i="53"/>
  <c r="J18" i="53"/>
  <c r="C9" i="55" s="1"/>
  <c r="J17" i="53"/>
  <c r="C8" i="55" s="1"/>
  <c r="L11" i="53"/>
  <c r="D17" i="53" s="1"/>
  <c r="D14" i="53" s="1"/>
  <c r="L10" i="53"/>
  <c r="D16" i="53" s="1"/>
  <c r="D15" i="53" s="1"/>
  <c r="C10" i="53"/>
  <c r="L9" i="53"/>
  <c r="D13" i="53"/>
  <c r="D11" i="53" s="1"/>
  <c r="F18" i="38"/>
  <c r="F20" i="38"/>
  <c r="C49" i="49"/>
  <c r="C48" i="49"/>
  <c r="C47" i="49"/>
  <c r="C38" i="49"/>
  <c r="C37" i="49"/>
  <c r="C36" i="49"/>
  <c r="C35" i="49"/>
  <c r="C34" i="49"/>
  <c r="C33" i="49"/>
  <c r="C32" i="49"/>
  <c r="C31" i="49"/>
  <c r="C30" i="49"/>
  <c r="C29" i="49"/>
  <c r="C28" i="49"/>
  <c r="C27" i="49"/>
  <c r="C26" i="49"/>
  <c r="C25" i="49"/>
  <c r="C24" i="49"/>
  <c r="C23" i="49"/>
  <c r="C22" i="49"/>
  <c r="C21" i="49"/>
  <c r="C20" i="49"/>
  <c r="C19" i="49"/>
  <c r="C15" i="49"/>
  <c r="C14" i="49"/>
  <c r="C12" i="49"/>
  <c r="C11" i="49"/>
  <c r="C9" i="49"/>
  <c r="C8" i="49"/>
  <c r="C7" i="49"/>
  <c r="C10" i="49" s="1"/>
  <c r="J53" i="51"/>
  <c r="J50" i="51"/>
  <c r="J47" i="51"/>
  <c r="L47" i="51"/>
  <c r="C42" i="51"/>
  <c r="J41" i="51"/>
  <c r="J40" i="51"/>
  <c r="J39" i="51"/>
  <c r="J38" i="51"/>
  <c r="J37" i="51"/>
  <c r="J36" i="51"/>
  <c r="J35" i="51"/>
  <c r="J34" i="51"/>
  <c r="J33" i="51"/>
  <c r="J32" i="51"/>
  <c r="J31" i="51"/>
  <c r="J30" i="51"/>
  <c r="J29" i="51"/>
  <c r="J28" i="51"/>
  <c r="J27" i="51"/>
  <c r="J26" i="51"/>
  <c r="J25" i="51"/>
  <c r="J24" i="51"/>
  <c r="J23" i="51"/>
  <c r="J22" i="51"/>
  <c r="J18" i="51"/>
  <c r="J17" i="51"/>
  <c r="L11" i="51"/>
  <c r="D17" i="51" s="1"/>
  <c r="D14" i="51" s="1"/>
  <c r="L10" i="51"/>
  <c r="D16" i="51" s="1"/>
  <c r="D15" i="51" s="1"/>
  <c r="C10" i="51"/>
  <c r="J9" i="51" s="1"/>
  <c r="L9" i="51"/>
  <c r="D13" i="51" s="1"/>
  <c r="J41" i="49"/>
  <c r="J40" i="49"/>
  <c r="J39" i="49"/>
  <c r="J37" i="49"/>
  <c r="J35" i="49"/>
  <c r="J33" i="49"/>
  <c r="J32" i="49"/>
  <c r="J31" i="49"/>
  <c r="J29" i="49"/>
  <c r="J28" i="49"/>
  <c r="J27" i="49"/>
  <c r="J25" i="49"/>
  <c r="J24" i="49"/>
  <c r="J23" i="49"/>
  <c r="J18" i="49"/>
  <c r="C9" i="38" s="1"/>
  <c r="J17" i="49"/>
  <c r="L11" i="49"/>
  <c r="D17" i="49" s="1"/>
  <c r="D14" i="49" s="1"/>
  <c r="L10" i="49"/>
  <c r="D16" i="49" s="1"/>
  <c r="D15" i="49" s="1"/>
  <c r="L9" i="49"/>
  <c r="D13" i="49" s="1"/>
  <c r="D12" i="49" s="1"/>
  <c r="F16" i="38"/>
  <c r="J53" i="37"/>
  <c r="J50" i="37"/>
  <c r="D16" i="38" s="1"/>
  <c r="J47" i="37"/>
  <c r="L47" i="37" s="1"/>
  <c r="C42" i="37"/>
  <c r="C42" i="49" s="1"/>
  <c r="J41" i="37"/>
  <c r="J40" i="37"/>
  <c r="J39" i="37"/>
  <c r="J38" i="37"/>
  <c r="J37" i="37"/>
  <c r="J36" i="37"/>
  <c r="J35" i="37"/>
  <c r="J34" i="37"/>
  <c r="J33" i="37"/>
  <c r="J32" i="37"/>
  <c r="J31" i="37"/>
  <c r="J30" i="37"/>
  <c r="J29" i="37"/>
  <c r="J28" i="37"/>
  <c r="J27" i="37"/>
  <c r="J26" i="37"/>
  <c r="J25" i="37"/>
  <c r="J24" i="37"/>
  <c r="J23" i="37"/>
  <c r="L43" i="37" s="1"/>
  <c r="J22" i="37"/>
  <c r="J18" i="37"/>
  <c r="D9" i="38" s="1"/>
  <c r="J17" i="37"/>
  <c r="D8" i="38" s="1"/>
  <c r="L11" i="37"/>
  <c r="D17" i="37" s="1"/>
  <c r="D14" i="37" s="1"/>
  <c r="L10" i="37"/>
  <c r="D16" i="37" s="1"/>
  <c r="D15" i="37" s="1"/>
  <c r="C10" i="37"/>
  <c r="J7" i="37" s="1"/>
  <c r="J9" i="37" s="1"/>
  <c r="L9" i="37"/>
  <c r="D13" i="37" s="1"/>
  <c r="J53" i="35"/>
  <c r="J50" i="35"/>
  <c r="J47" i="35"/>
  <c r="L47" i="35" s="1"/>
  <c r="C42" i="35"/>
  <c r="J41" i="35"/>
  <c r="J40" i="35"/>
  <c r="J39" i="35"/>
  <c r="J38" i="35"/>
  <c r="J37" i="35"/>
  <c r="J36" i="35"/>
  <c r="J35" i="35"/>
  <c r="J34" i="35"/>
  <c r="J33" i="35"/>
  <c r="J32" i="35"/>
  <c r="J31" i="35"/>
  <c r="J30" i="35"/>
  <c r="J29" i="35"/>
  <c r="J28" i="35"/>
  <c r="J27" i="35"/>
  <c r="J26" i="35"/>
  <c r="J25" i="35"/>
  <c r="J24" i="35"/>
  <c r="M43" i="35" s="1"/>
  <c r="J23" i="35"/>
  <c r="L43" i="35" s="1"/>
  <c r="J22" i="35"/>
  <c r="J18" i="35"/>
  <c r="J17" i="35"/>
  <c r="L11" i="35"/>
  <c r="D17" i="35" s="1"/>
  <c r="D14" i="35" s="1"/>
  <c r="L10" i="35"/>
  <c r="D16" i="35"/>
  <c r="D15" i="35" s="1"/>
  <c r="C10" i="35"/>
  <c r="L9" i="35"/>
  <c r="D13" i="35"/>
  <c r="J55" i="34"/>
  <c r="J52" i="34"/>
  <c r="J50" i="34"/>
  <c r="J42" i="34"/>
  <c r="J41" i="34"/>
  <c r="J40" i="34"/>
  <c r="J39" i="34"/>
  <c r="J38" i="34"/>
  <c r="J37" i="34"/>
  <c r="J36" i="34"/>
  <c r="J35" i="34"/>
  <c r="J34" i="34"/>
  <c r="J33" i="34"/>
  <c r="J32" i="34"/>
  <c r="J31" i="34"/>
  <c r="J30" i="34"/>
  <c r="J29" i="34"/>
  <c r="J28" i="34"/>
  <c r="J48" i="34"/>
  <c r="J47" i="34"/>
  <c r="J52" i="31"/>
  <c r="J50" i="31"/>
  <c r="J48" i="31"/>
  <c r="J47" i="31"/>
  <c r="J42" i="31"/>
  <c r="J41" i="31"/>
  <c r="J40" i="31"/>
  <c r="J39" i="31"/>
  <c r="J38" i="31"/>
  <c r="J37" i="31"/>
  <c r="J36" i="31"/>
  <c r="J35" i="31"/>
  <c r="J34" i="31"/>
  <c r="J33" i="31"/>
  <c r="J32" i="31"/>
  <c r="J31" i="31"/>
  <c r="J30" i="31"/>
  <c r="J29" i="31"/>
  <c r="J28" i="31"/>
  <c r="J27" i="31"/>
  <c r="J26" i="31"/>
  <c r="J27" i="34"/>
  <c r="J26" i="34"/>
  <c r="C45" i="31"/>
  <c r="C45" i="34"/>
  <c r="J55" i="31"/>
  <c r="J25" i="34"/>
  <c r="J24" i="34"/>
  <c r="J23" i="34"/>
  <c r="J18" i="34"/>
  <c r="J17" i="34"/>
  <c r="L11" i="34"/>
  <c r="D17" i="34" s="1"/>
  <c r="D14" i="34" s="1"/>
  <c r="L46" i="34" s="1"/>
  <c r="L10" i="34"/>
  <c r="D16" i="34" s="1"/>
  <c r="D15" i="34"/>
  <c r="C10" i="34"/>
  <c r="L9" i="34"/>
  <c r="D13" i="34" s="1"/>
  <c r="J23" i="31"/>
  <c r="J25" i="31"/>
  <c r="J24" i="31"/>
  <c r="J18" i="31"/>
  <c r="J17" i="31"/>
  <c r="L11" i="31"/>
  <c r="D17" i="31" s="1"/>
  <c r="D14" i="31" s="1"/>
  <c r="L46" i="31" s="1"/>
  <c r="L45" i="31"/>
  <c r="L10" i="31"/>
  <c r="D16" i="31" s="1"/>
  <c r="D15" i="31" s="1"/>
  <c r="C10" i="31"/>
  <c r="J9" i="31" s="1"/>
  <c r="J11" i="31" s="1"/>
  <c r="L9" i="31"/>
  <c r="D13" i="31" s="1"/>
  <c r="J7" i="34"/>
  <c r="J9" i="34" s="1"/>
  <c r="J10" i="34"/>
  <c r="J11" i="34" s="1"/>
  <c r="L45" i="34"/>
  <c r="D11" i="35"/>
  <c r="D12" i="35"/>
  <c r="J7" i="35"/>
  <c r="J9" i="35" s="1"/>
  <c r="J50" i="49"/>
  <c r="C16" i="38" s="1"/>
  <c r="J10" i="35"/>
  <c r="J11" i="35" s="1"/>
  <c r="D12" i="53"/>
  <c r="D11" i="37" l="1"/>
  <c r="D12" i="37"/>
  <c r="D18" i="57"/>
  <c r="J12" i="57" s="1"/>
  <c r="J44" i="34"/>
  <c r="M43" i="53"/>
  <c r="C14" i="55" s="1"/>
  <c r="D18" i="59"/>
  <c r="J12" i="59" s="1"/>
  <c r="J10" i="58"/>
  <c r="J11" i="58" s="1"/>
  <c r="L13" i="58" s="1"/>
  <c r="J7" i="59"/>
  <c r="J9" i="59" s="1"/>
  <c r="D6" i="55" s="1"/>
  <c r="J43" i="59"/>
  <c r="N43" i="59"/>
  <c r="D12" i="55" s="1"/>
  <c r="N43" i="58"/>
  <c r="I12" i="55" s="1"/>
  <c r="J43" i="58"/>
  <c r="D18" i="58"/>
  <c r="J12" i="58" s="1"/>
  <c r="L48" i="57"/>
  <c r="J48" i="57" s="1"/>
  <c r="L13" i="57"/>
  <c r="J13" i="57"/>
  <c r="L15" i="57" s="1"/>
  <c r="D18" i="56"/>
  <c r="J7" i="53"/>
  <c r="J9" i="53" s="1"/>
  <c r="J22" i="49"/>
  <c r="J7" i="49"/>
  <c r="J9" i="49" s="1"/>
  <c r="C6" i="38" s="1"/>
  <c r="J10" i="49"/>
  <c r="J11" i="49" s="1"/>
  <c r="L13" i="49" s="1"/>
  <c r="D6" i="38"/>
  <c r="J10" i="37"/>
  <c r="J11" i="37" s="1"/>
  <c r="L13" i="37" s="1"/>
  <c r="J53" i="49"/>
  <c r="D11" i="31"/>
  <c r="D12" i="31"/>
  <c r="J43" i="35"/>
  <c r="D15" i="38"/>
  <c r="D12" i="54"/>
  <c r="D11" i="54"/>
  <c r="D18" i="35"/>
  <c r="J12" i="35" s="1"/>
  <c r="J44" i="31"/>
  <c r="N43" i="35"/>
  <c r="M43" i="37"/>
  <c r="L43" i="49"/>
  <c r="D12" i="51"/>
  <c r="D11" i="51"/>
  <c r="D18" i="51" s="1"/>
  <c r="J12" i="51" s="1"/>
  <c r="D18" i="53"/>
  <c r="J11" i="51"/>
  <c r="D11" i="49"/>
  <c r="D18" i="49" s="1"/>
  <c r="J12" i="49" s="1"/>
  <c r="J26" i="49"/>
  <c r="J47" i="49"/>
  <c r="J34" i="49"/>
  <c r="J30" i="49"/>
  <c r="J38" i="49"/>
  <c r="J36" i="49"/>
  <c r="J13" i="35"/>
  <c r="L15" i="35" s="1"/>
  <c r="L13" i="35"/>
  <c r="D12" i="34"/>
  <c r="D11" i="34"/>
  <c r="D18" i="37"/>
  <c r="J13" i="37" s="1"/>
  <c r="L15" i="37" s="1"/>
  <c r="N43" i="37"/>
  <c r="J43" i="37"/>
  <c r="C8" i="38"/>
  <c r="J43" i="51"/>
  <c r="N43" i="53"/>
  <c r="C12" i="55" s="1"/>
  <c r="J43" i="53"/>
  <c r="J13" i="49"/>
  <c r="L15" i="49" s="1"/>
  <c r="J9" i="54"/>
  <c r="D18" i="34" l="1"/>
  <c r="J12" i="34" s="1"/>
  <c r="J10" i="53"/>
  <c r="J11" i="53" s="1"/>
  <c r="L48" i="53" s="1"/>
  <c r="J48" i="53" s="1"/>
  <c r="C13" i="55" s="1"/>
  <c r="C6" i="55"/>
  <c r="J10" i="59"/>
  <c r="J11" i="59" s="1"/>
  <c r="L13" i="59" s="1"/>
  <c r="J13" i="58"/>
  <c r="L15" i="58" s="1"/>
  <c r="L17" i="58" s="1"/>
  <c r="L48" i="58"/>
  <c r="J48" i="58" s="1"/>
  <c r="I13" i="55" s="1"/>
  <c r="L17" i="57"/>
  <c r="J14" i="57"/>
  <c r="J12" i="56"/>
  <c r="L48" i="56"/>
  <c r="J48" i="56" s="1"/>
  <c r="J13" i="55" s="1"/>
  <c r="J13" i="56"/>
  <c r="L15" i="56" s="1"/>
  <c r="J43" i="49"/>
  <c r="N43" i="49"/>
  <c r="C12" i="38"/>
  <c r="L17" i="37"/>
  <c r="J14" i="37"/>
  <c r="J12" i="37"/>
  <c r="L48" i="37"/>
  <c r="J48" i="37" s="1"/>
  <c r="L48" i="49"/>
  <c r="L47" i="49"/>
  <c r="M43" i="49"/>
  <c r="J12" i="53"/>
  <c r="C15" i="38"/>
  <c r="D18" i="31"/>
  <c r="J11" i="54"/>
  <c r="L48" i="35"/>
  <c r="J48" i="35" s="1"/>
  <c r="L49" i="34"/>
  <c r="J49" i="34" s="1"/>
  <c r="L48" i="51"/>
  <c r="J48" i="51" s="1"/>
  <c r="L13" i="51"/>
  <c r="J13" i="51"/>
  <c r="L15" i="51" s="1"/>
  <c r="J13" i="34"/>
  <c r="L15" i="34" s="1"/>
  <c r="D14" i="38"/>
  <c r="D18" i="54"/>
  <c r="J12" i="54" s="1"/>
  <c r="L17" i="49"/>
  <c r="J14" i="49"/>
  <c r="D12" i="38"/>
  <c r="L17" i="35"/>
  <c r="J14" i="35"/>
  <c r="L13" i="53" l="1"/>
  <c r="J13" i="53"/>
  <c r="L15" i="53" s="1"/>
  <c r="L17" i="53" s="1"/>
  <c r="L48" i="59"/>
  <c r="J48" i="59" s="1"/>
  <c r="D13" i="55" s="1"/>
  <c r="J13" i="59"/>
  <c r="L15" i="59" s="1"/>
  <c r="L17" i="59" s="1"/>
  <c r="J14" i="58"/>
  <c r="J15" i="57"/>
  <c r="J52" i="57"/>
  <c r="J54" i="57" s="1"/>
  <c r="L17" i="56"/>
  <c r="J14" i="56"/>
  <c r="J7" i="55" s="1"/>
  <c r="J15" i="35"/>
  <c r="J52" i="35"/>
  <c r="J54" i="35" s="1"/>
  <c r="C7" i="38"/>
  <c r="J15" i="49"/>
  <c r="C14" i="38"/>
  <c r="D13" i="38"/>
  <c r="L13" i="54"/>
  <c r="J13" i="54"/>
  <c r="L15" i="54" s="1"/>
  <c r="L48" i="54"/>
  <c r="J48" i="54" s="1"/>
  <c r="L17" i="34"/>
  <c r="J14" i="34"/>
  <c r="J12" i="31"/>
  <c r="J13" i="31"/>
  <c r="L15" i="31" s="1"/>
  <c r="L49" i="31"/>
  <c r="J49" i="31" s="1"/>
  <c r="J48" i="49"/>
  <c r="J15" i="37"/>
  <c r="J52" i="37"/>
  <c r="J54" i="37" s="1"/>
  <c r="D7" i="38"/>
  <c r="D18" i="38" s="1"/>
  <c r="L17" i="51"/>
  <c r="J14" i="51"/>
  <c r="J14" i="53" l="1"/>
  <c r="C7" i="55" s="1"/>
  <c r="C18" i="55" s="1"/>
  <c r="J52" i="58"/>
  <c r="J54" i="58" s="1"/>
  <c r="I7" i="55"/>
  <c r="I18" i="55" s="1"/>
  <c r="J14" i="59"/>
  <c r="D7" i="55" s="1"/>
  <c r="J15" i="58"/>
  <c r="J15" i="56"/>
  <c r="J52" i="56"/>
  <c r="J54" i="56" s="1"/>
  <c r="J18" i="55"/>
  <c r="J52" i="53"/>
  <c r="J54" i="53" s="1"/>
  <c r="J15" i="53"/>
  <c r="C13" i="38"/>
  <c r="C18" i="38" s="1"/>
  <c r="D20" i="38" s="1"/>
  <c r="J54" i="34"/>
  <c r="J56" i="34" s="1"/>
  <c r="J15" i="34"/>
  <c r="J52" i="49"/>
  <c r="J54" i="49" s="1"/>
  <c r="L17" i="54"/>
  <c r="J14" i="54"/>
  <c r="J52" i="51"/>
  <c r="J54" i="51" s="1"/>
  <c r="J15" i="51"/>
  <c r="J14" i="31"/>
  <c r="L17" i="31"/>
  <c r="J15" i="59" l="1"/>
  <c r="J52" i="59"/>
  <c r="J54" i="59" s="1"/>
  <c r="J20" i="55"/>
  <c r="D18" i="55"/>
  <c r="D20" i="55" s="1"/>
  <c r="J54" i="31"/>
  <c r="J56" i="31" s="1"/>
  <c r="J15" i="31"/>
  <c r="J15" i="54"/>
  <c r="J52" i="54"/>
  <c r="J54" i="5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000-000001000000}">
      <text>
        <r>
          <rPr>
            <b/>
            <sz val="8"/>
            <color indexed="81"/>
            <rFont val="Tahoma"/>
            <family val="2"/>
          </rPr>
          <t xml:space="preserve">Steuerbefreiung (§ 9 StromStG): 
</t>
        </r>
        <r>
          <rPr>
            <sz val="8"/>
            <color indexed="81"/>
            <rFont val="Tahoma"/>
            <family val="2"/>
          </rPr>
          <t>Von der Steuer befreit ist Strom
1. Strom aus erneuerbaren Energieträgern, wenn dieser aus einem ausschließlich mit Strom aus 
    erneuerbaren Energieträgern gespeisten Netz oder einer entsprechenden Leitung entnommen 
    wird;
2. Strom, der zur Stromerzeugung entnommen wird;
3. Strom, der in Anlagen mit einer elektrischen Nennleistung von bis zu zwei Megawatt erzeugt
    wird und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t>
        </r>
      </text>
    </comment>
    <comment ref="B9" authorId="0" shapeId="0" xr:uid="{00000000-0006-0000-00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0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0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0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2018 18,6 % (Arbeitgeberanteil: 9,3 %).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0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2018 18,6 %. Der anrechenbare Rentenbeitrag darf nicht höher als 19,5 % sein.
</t>
        </r>
      </text>
    </comment>
    <comment ref="H13" authorId="0" shapeId="0" xr:uid="{00000000-0006-0000-00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0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2018 24,7 %; der Arbeitgeberanteil beträgt 15,4 %.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00000000-0006-0000-00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0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2018 24,7 %.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0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0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0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0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000-00000F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1" authorId="0" shapeId="0" xr:uid="{00000000-0006-0000-0000-000010000000}">
      <text>
        <r>
          <rPr>
            <b/>
            <sz val="8"/>
            <color indexed="81"/>
            <rFont val="Arial"/>
            <family val="2"/>
          </rPr>
          <t>§ 53 Steuerentlastung für die Stromerzeugung</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22" authorId="0" shapeId="0" xr:uid="{00000000-0006-0000-0000-000011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22" authorId="1" shapeId="0" xr:uid="{00000000-0006-0000-00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000-000013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25" authorId="0" shapeId="0" xr:uid="{00000000-0006-0000-0000-000014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6" authorId="0" shapeId="0" xr:uid="{00000000-0006-0000-0000-000015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28" authorId="0" shapeId="0" xr:uid="{00000000-0006-0000-0000-000016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9" authorId="0" shapeId="0" xr:uid="{00000000-0006-0000-0000-000017000000}">
      <text>
        <r>
          <rPr>
            <b/>
            <sz val="8"/>
            <color indexed="81"/>
            <rFont val="Tahoma"/>
            <family val="2"/>
          </rPr>
          <t xml:space="preserve">§ 53 Steuerentlastung für die Stromerzeugung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0" authorId="0" shapeId="0" xr:uid="{00000000-0006-0000-0000-000018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H30" authorId="1" shapeId="0" xr:uid="{00000000-0006-0000-0000-000019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000-00001A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2" authorId="0" shapeId="0" xr:uid="{00000000-0006-0000-0000-00001B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4" authorId="0" shapeId="0" xr:uid="{00000000-0006-0000-0000-00001C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35" authorId="0" shapeId="0" xr:uid="{00000000-0006-0000-0000-00001D000000}">
      <text>
        <r>
          <rPr>
            <b/>
            <sz val="8"/>
            <color indexed="81"/>
            <rFont val="Tahoma"/>
            <family val="2"/>
          </rPr>
          <t xml:space="preserve">§ 53 Steuerentlastung für die Stromerzeugung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6" authorId="0" shapeId="0" xr:uid="{00000000-0006-0000-0000-00001E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H36" authorId="1" shapeId="0" xr:uid="{00000000-0006-0000-0000-00001F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000-000020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8" authorId="0" shapeId="0" xr:uid="{00000000-0006-0000-0000-000021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41" authorId="1" shapeId="0" xr:uid="{00000000-0006-0000-0000-000022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0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000-000024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000-000025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000-000026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000-000027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000-000028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000-000029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000-00002A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s>
  <commentList>
    <comment ref="B8" authorId="0" shapeId="0" xr:uid="{00000000-0006-0000-0B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text>
    </comment>
    <comment ref="B9" authorId="0" shapeId="0" xr:uid="{00000000-0006-0000-0B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B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B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B00-000005000000}">
      <text>
        <r>
          <rPr>
            <b/>
            <sz val="8"/>
            <color indexed="81"/>
            <rFont val="Tahoma"/>
            <family val="2"/>
          </rPr>
          <t>Bitte hier den aktuellen Arbeitgeberanteil an der allgemeinen Rentenversicherung (halber Beitrag) eintragen.</t>
        </r>
        <r>
          <rPr>
            <sz val="8"/>
            <color indexed="81"/>
            <rFont val="Tahoma"/>
            <family val="2"/>
          </rPr>
          <t xml:space="preserve">
Der</t>
        </r>
        <r>
          <rPr>
            <b/>
            <sz val="8"/>
            <color indexed="81"/>
            <rFont val="Tahoma"/>
            <family val="2"/>
          </rPr>
          <t xml:space="preserve"> allgemeine </t>
        </r>
        <r>
          <rPr>
            <sz val="8"/>
            <color indexed="81"/>
            <rFont val="Tahoma"/>
            <family val="2"/>
          </rPr>
          <t xml:space="preserve">Rentenversicherungsbeitrag beträgt für das Jahr 2012 19,6 %. Der anrechenbare Rentenbeitrag nicht höher als 19,5 % sein </t>
        </r>
        <r>
          <rPr>
            <b/>
            <sz val="8"/>
            <color indexed="81"/>
            <rFont val="Tahoma"/>
            <family val="2"/>
          </rPr>
          <t>(-&gt; anrechenbarer Arbeitgeberanteil: 9,75 %)</t>
        </r>
        <r>
          <rPr>
            <sz val="8"/>
            <color indexed="81"/>
            <rFont val="Tahoma"/>
            <family val="2"/>
          </rPr>
          <t xml:space="preserve">. Die Absenkung des Arbeitgeberanteils an den </t>
        </r>
        <r>
          <rPr>
            <b/>
            <sz val="8"/>
            <color indexed="81"/>
            <rFont val="Tahoma"/>
            <family val="2"/>
          </rPr>
          <t xml:space="preserve">allgemeinen </t>
        </r>
        <r>
          <rPr>
            <sz val="8"/>
            <color indexed="81"/>
            <rFont val="Tahoma"/>
            <family val="2"/>
          </rPr>
          <t xml:space="preserve">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B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2012 19,6 %. Der anrechenbare Rentenbeitrag nicht höher als 19,5 % sein </t>
        </r>
        <r>
          <rPr>
            <b/>
            <sz val="8"/>
            <color indexed="81"/>
            <rFont val="Tahoma"/>
            <family val="2"/>
          </rPr>
          <t>(-&gt; als Arbeitgeberbeitrag voll anrechenbarer Rentenbeitrag: 19,5 %)</t>
        </r>
        <r>
          <rPr>
            <sz val="8"/>
            <color indexed="81"/>
            <rFont val="Tahoma"/>
            <family val="2"/>
          </rPr>
          <t xml:space="preserve">. </t>
        </r>
        <r>
          <rPr>
            <b/>
            <sz val="8"/>
            <color indexed="81"/>
            <rFont val="Tahoma"/>
            <family val="2"/>
          </rPr>
          <t xml:space="preserve">
</t>
        </r>
        <r>
          <rPr>
            <sz val="8"/>
            <color indexed="81"/>
            <rFont val="Tahoma"/>
            <family val="2"/>
          </rPr>
          <t xml:space="preserve">
</t>
        </r>
      </text>
    </comment>
    <comment ref="H13" authorId="0" shapeId="0" xr:uid="{00000000-0006-0000-0B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B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2012 26,0 %. Der anrechenbare Rentenbeitrag nicht höher als 25,9 % sein </t>
        </r>
        <r>
          <rPr>
            <b/>
            <sz val="8"/>
            <color indexed="81"/>
            <rFont val="Tahoma"/>
            <family val="2"/>
          </rPr>
          <t>(-&gt; anrechenbarer Arbeitgeberanteil: 16,15 %).</t>
        </r>
        <r>
          <rPr>
            <sz val="8"/>
            <color indexed="81"/>
            <rFont val="Tahoma"/>
            <family val="2"/>
          </rPr>
          <t xml:space="preserve">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B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(3-9)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t>
        </r>
      </text>
    </comment>
    <comment ref="B15" authorId="0" shapeId="0" xr:uid="{00000000-0006-0000-0B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2012 26,0 %. Der anrechenbare Rentenbeitrag nicht höher als 25,9 % sein </t>
        </r>
        <r>
          <rPr>
            <b/>
            <sz val="8"/>
            <color indexed="81"/>
            <rFont val="Tahoma"/>
            <family val="2"/>
          </rPr>
          <t>(-&gt; als Arbeitgeberbeitrag voll anrechenbarer Rentenversicherungsbeitrag: 25,9 %)</t>
        </r>
        <r>
          <rPr>
            <sz val="8"/>
            <color indexed="81"/>
            <rFont val="Tahoma"/>
            <family val="2"/>
          </rPr>
          <t xml:space="preserve">.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B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B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B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B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B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B00-000010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22" authorId="0" shapeId="0" xr:uid="{00000000-0006-0000-0B00-000011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3" authorId="0" shapeId="0" xr:uid="{00000000-0006-0000-0B00-000012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r>
          <rPr>
            <b/>
            <sz val="8"/>
            <color indexed="81"/>
            <rFont val="Arial"/>
            <family val="2"/>
          </rPr>
          <t xml:space="preserve">
</t>
        </r>
      </text>
    </comment>
    <comment ref="H23" authorId="1" shapeId="0" xr:uid="{00000000-0006-0000-0B00-000013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4" authorId="0" shapeId="0" xr:uid="{00000000-0006-0000-0B00-000014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B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7" authorId="0" shapeId="0" xr:uid="{00000000-0006-0000-0B00-000016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9" authorId="0" shapeId="0" xr:uid="{00000000-0006-0000-0B00-000017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0" authorId="0" shapeId="0" xr:uid="{00000000-0006-0000-0B00-000018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H30" authorId="1" shapeId="0" xr:uid="{00000000-0006-0000-0B00-000019000000}">
      <text>
        <r>
          <rPr>
            <sz val="8"/>
            <color indexed="81"/>
            <rFont val="Tahoma"/>
            <family val="2"/>
          </rPr>
          <t>Aufgrund des Mindeststeuersatzes der EU gilt laut Erlass vom 18.12.2012 abweichend von § 53b Absatz 2 Nr. 2 rückwirkend ab 1.4.2012 eine Steuerermäßigung von nur 4,00 Euro/1000 kg.</t>
        </r>
      </text>
    </comment>
    <comment ref="B31" authorId="0" shapeId="0" xr:uid="{00000000-0006-0000-0B00-00001A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31" authorId="1" shapeId="0" xr:uid="{00000000-0006-0000-0B00-00001B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2" authorId="0" shapeId="0" xr:uid="{00000000-0006-0000-0B00-00001C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33" authorId="0" shapeId="0" xr:uid="{00000000-0006-0000-0B00-00001D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B00-00001E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6" authorId="0" shapeId="0" xr:uid="{00000000-0006-0000-0B00-00001F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r>
          <rPr>
            <b/>
            <sz val="8"/>
            <color indexed="81"/>
            <rFont val="Tahoma"/>
            <family val="2"/>
          </rPr>
          <t>§ 53 Steuerentlastung für die Stromerzeugung und die gekoppelte Erzeugung von Kraft und Wärme</t>
        </r>
        <r>
          <rPr>
            <sz val="8"/>
            <color indexed="81"/>
            <rFont val="Tahoma"/>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t>
        </r>
      </text>
    </comment>
    <comment ref="B37" authorId="0" shapeId="0" xr:uid="{00000000-0006-0000-0B00-000020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H37" authorId="1" shapeId="0" xr:uid="{00000000-0006-0000-0B00-000021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8" authorId="0" shapeId="0" xr:uid="{00000000-0006-0000-0B00-000022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9" authorId="0" shapeId="0" xr:uid="{00000000-0006-0000-0B00-000023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0" authorId="0" shapeId="0" xr:uid="{00000000-0006-0000-0B00-000024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0" shapeId="0" xr:uid="{00000000-0006-0000-0B00-000025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4" authorId="1" shapeId="0" xr:uid="{00000000-0006-0000-0B00-000026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6" authorId="0" shapeId="0" xr:uid="{00000000-0006-0000-0B00-000027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47" authorId="0" shapeId="0" xr:uid="{00000000-0006-0000-0B00-000028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47" authorId="0" shapeId="0" xr:uid="{00000000-0006-0000-0B00-000029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I48" authorId="0" shapeId="0" xr:uid="{00000000-0006-0000-0B00-00002A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Entlastungsberechtigt ist das Unternehmen des Produzierenden Gewerbes, das die Energieerzeugnisse verwendet hat.</t>
        </r>
      </text>
    </comment>
    <comment ref="B50" authorId="0" shapeId="0" xr:uid="{00000000-0006-0000-0B00-00002B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0" authorId="0" shapeId="0" xr:uid="{00000000-0006-0000-0B00-00002C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51" authorId="0" shapeId="0" xr:uid="{00000000-0006-0000-0B00-00002D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52" authorId="0" shapeId="0" xr:uid="{00000000-0006-0000-0B00-00002E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s>
  <commentList>
    <comment ref="B8" authorId="0" shapeId="0" xr:uid="{00000000-0006-0000-0C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text>
    </comment>
    <comment ref="B9" authorId="0" shapeId="0" xr:uid="{00000000-0006-0000-0C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C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C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C00-000005000000}">
      <text>
        <r>
          <rPr>
            <b/>
            <sz val="8"/>
            <color indexed="81"/>
            <rFont val="Tahoma"/>
            <family val="2"/>
          </rPr>
          <t>Bitte hier den aktuellen Arbeitgeberanteil an der allgemeinen Rentenversicherung (halber Beitrag) eintragen.</t>
        </r>
        <r>
          <rPr>
            <sz val="8"/>
            <color indexed="81"/>
            <rFont val="Tahoma"/>
            <family val="2"/>
          </rPr>
          <t xml:space="preserve">
Der</t>
        </r>
        <r>
          <rPr>
            <b/>
            <sz val="8"/>
            <color indexed="81"/>
            <rFont val="Tahoma"/>
            <family val="2"/>
          </rPr>
          <t xml:space="preserve"> allgemeine </t>
        </r>
        <r>
          <rPr>
            <sz val="8"/>
            <color indexed="81"/>
            <rFont val="Tahoma"/>
            <family val="2"/>
          </rPr>
          <t xml:space="preserve">Rentenversicherungsbeitrag beträgt für das Jahr 2012 19,6 %. Der anrechenbare Rentenbeitrag nicht höher als 19,5 % sein </t>
        </r>
        <r>
          <rPr>
            <b/>
            <sz val="8"/>
            <color indexed="81"/>
            <rFont val="Tahoma"/>
            <family val="2"/>
          </rPr>
          <t>(-&gt; anrechenbarer Arbeitgeberanteil: 9,75 %)</t>
        </r>
        <r>
          <rPr>
            <sz val="8"/>
            <color indexed="81"/>
            <rFont val="Tahoma"/>
            <family val="2"/>
          </rPr>
          <t xml:space="preserve">. Die Absenkung des Arbeitgeberanteils an den </t>
        </r>
        <r>
          <rPr>
            <b/>
            <sz val="8"/>
            <color indexed="81"/>
            <rFont val="Tahoma"/>
            <family val="2"/>
          </rPr>
          <t xml:space="preserve">allgemeinen </t>
        </r>
        <r>
          <rPr>
            <sz val="8"/>
            <color indexed="81"/>
            <rFont val="Tahoma"/>
            <family val="2"/>
          </rPr>
          <t xml:space="preserve">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C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2012 19,6 %. Der anrechenbare Rentenbeitrag nicht höher als 19,5 % sein </t>
        </r>
        <r>
          <rPr>
            <b/>
            <sz val="8"/>
            <color indexed="81"/>
            <rFont val="Tahoma"/>
            <family val="2"/>
          </rPr>
          <t>(-&gt; als Arbeitgeberbeitrag voll anrechenbarer Rentenbeitrag: 19,5 %)</t>
        </r>
        <r>
          <rPr>
            <sz val="8"/>
            <color indexed="81"/>
            <rFont val="Tahoma"/>
            <family val="2"/>
          </rPr>
          <t xml:space="preserve">. </t>
        </r>
        <r>
          <rPr>
            <b/>
            <sz val="8"/>
            <color indexed="81"/>
            <rFont val="Tahoma"/>
            <family val="2"/>
          </rPr>
          <t xml:space="preserve">
</t>
        </r>
        <r>
          <rPr>
            <sz val="8"/>
            <color indexed="81"/>
            <rFont val="Tahoma"/>
            <family val="2"/>
          </rPr>
          <t xml:space="preserve">
</t>
        </r>
      </text>
    </comment>
    <comment ref="H13" authorId="0" shapeId="0" xr:uid="{00000000-0006-0000-0C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C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2012 26,0 %. Der anrechenbare Rentenbeitrag nicht höher als 25,9 % sein </t>
        </r>
        <r>
          <rPr>
            <b/>
            <sz val="8"/>
            <color indexed="81"/>
            <rFont val="Tahoma"/>
            <family val="2"/>
          </rPr>
          <t>(-&gt; anrechenbarer Arbeitgeberanteil: 16,15 %).</t>
        </r>
        <r>
          <rPr>
            <sz val="8"/>
            <color indexed="81"/>
            <rFont val="Tahoma"/>
            <family val="2"/>
          </rPr>
          <t xml:space="preserve">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C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(3-9)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t>
        </r>
      </text>
    </comment>
    <comment ref="B15" authorId="0" shapeId="0" xr:uid="{00000000-0006-0000-0C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2012 26,0 %. Der anrechenbare Rentenbeitrag nicht höher als 25,9 % sein </t>
        </r>
        <r>
          <rPr>
            <b/>
            <sz val="8"/>
            <color indexed="81"/>
            <rFont val="Tahoma"/>
            <family val="2"/>
          </rPr>
          <t>(-&gt; als Arbeitgeberbeitrag voll anrechenbarer Rentenversicherungsbeitrag: 25,9 %)</t>
        </r>
        <r>
          <rPr>
            <sz val="8"/>
            <color indexed="81"/>
            <rFont val="Tahoma"/>
            <family val="2"/>
          </rPr>
          <t xml:space="preserve">.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C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C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C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C00-00000E000000}">
      <text>
        <r>
          <rPr>
            <sz val="8"/>
            <color indexed="81"/>
            <rFont val="Tahoma"/>
            <family val="2"/>
          </rPr>
          <t>Wenn Schweröl zum Steuersatz von 61,35 Euro versteuert worden ist und zum Verheizen verwendet wird, bitte hier eintragen.</t>
        </r>
        <r>
          <rPr>
            <b/>
            <sz val="8"/>
            <color indexed="81"/>
            <rFont val="Tahoma"/>
            <family val="2"/>
          </rPr>
          <t xml:space="preserve"> </t>
        </r>
        <r>
          <rPr>
            <sz val="8"/>
            <color indexed="81"/>
            <rFont val="Tahoma"/>
            <family val="2"/>
          </rPr>
          <t xml:space="preserve">
</t>
        </r>
      </text>
    </comment>
    <comment ref="B20" authorId="0" shapeId="0" xr:uid="{00000000-0006-0000-0C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C00-000010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22" authorId="0" shapeId="0" xr:uid="{00000000-0006-0000-0C00-000011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3" authorId="0" shapeId="0" xr:uid="{00000000-0006-0000-0C00-000012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r>
          <rPr>
            <b/>
            <sz val="8"/>
            <color indexed="81"/>
            <rFont val="Arial"/>
            <family val="2"/>
          </rPr>
          <t xml:space="preserve">
</t>
        </r>
      </text>
    </comment>
    <comment ref="H23" authorId="1" shapeId="0" xr:uid="{00000000-0006-0000-0C00-000013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4" authorId="0" shapeId="0" xr:uid="{00000000-0006-0000-0C00-000014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C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7" authorId="0" shapeId="0" xr:uid="{00000000-0006-0000-0C00-000016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C00-000017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0" authorId="0" shapeId="0" xr:uid="{00000000-0006-0000-0C00-000018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H30" authorId="1" shapeId="0" xr:uid="{00000000-0006-0000-0C00-000019000000}">
      <text>
        <r>
          <rPr>
            <sz val="8"/>
            <color indexed="81"/>
            <rFont val="Tahoma"/>
            <family val="2"/>
          </rPr>
          <t xml:space="preserve">Aufgrund des Mindeststeuersatzes der EU gilt laut Erlass vom 18.12.2012 abweichend von § 53b Absatz 2 Nr. 2 rückwirkend ab 1.4.2012 eine Steuerermäßigung von nur 4,00 Euro/1000 kg.
</t>
        </r>
      </text>
    </comment>
    <comment ref="B31" authorId="0" shapeId="0" xr:uid="{00000000-0006-0000-0C00-00001A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H31" authorId="1" shapeId="0" xr:uid="{00000000-0006-0000-0C00-00001B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2" authorId="0" shapeId="0" xr:uid="{00000000-0006-0000-0C00-00001C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3" authorId="0" shapeId="0" xr:uid="{00000000-0006-0000-0C00-00001D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34" authorId="0" shapeId="0" xr:uid="{00000000-0006-0000-0C00-00001E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5" authorId="0" shapeId="0" xr:uid="{00000000-0006-0000-0C00-00001F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7" authorId="0" shapeId="0" xr:uid="{00000000-0006-0000-0C00-000020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r>
          <rPr>
            <b/>
            <sz val="8"/>
            <color indexed="81"/>
            <rFont val="Tahoma"/>
            <family val="2"/>
          </rPr>
          <t>§ 53 Steuerentlastung für die Stromerzeugung und die gekoppelte Erzeugung von Kraft und Wärme</t>
        </r>
        <r>
          <rPr>
            <sz val="8"/>
            <color indexed="81"/>
            <rFont val="Tahoma"/>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t>
        </r>
      </text>
    </comment>
    <comment ref="H37" authorId="1" shapeId="0" xr:uid="{00000000-0006-0000-0C00-000021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8" authorId="0" shapeId="0" xr:uid="{00000000-0006-0000-0C00-000022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39" authorId="0" shapeId="0" xr:uid="{00000000-0006-0000-0C00-000023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40" authorId="0" shapeId="0" xr:uid="{00000000-0006-0000-0C00-000024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1" authorId="0" shapeId="0" xr:uid="{00000000-0006-0000-0C00-000025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2" authorId="0" shapeId="0" xr:uid="{00000000-0006-0000-0C00-000026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4" authorId="1" shapeId="0" xr:uid="{00000000-0006-0000-0C00-000027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6" authorId="0" shapeId="0" xr:uid="{00000000-0006-0000-0C00-000028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47" authorId="0" shapeId="0" xr:uid="{00000000-0006-0000-0C00-000029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47" authorId="0" shapeId="0" xr:uid="{00000000-0006-0000-0C00-00002A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I48" authorId="0" shapeId="0" xr:uid="{00000000-0006-0000-0C00-00002B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Entlastungsberechtigt ist das Unternehmen des Produzierenden Gewerbes, das die Energieerzeugnisse verwendet hat.</t>
        </r>
      </text>
    </comment>
    <comment ref="B50" authorId="0" shapeId="0" xr:uid="{00000000-0006-0000-0C00-00002C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0" authorId="0" shapeId="0" xr:uid="{00000000-0006-0000-0C00-00002D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51" authorId="0" shapeId="0" xr:uid="{00000000-0006-0000-0C00-00002E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52" authorId="0" shapeId="0" xr:uid="{00000000-0006-0000-0C00-00002F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s>
  <commentList>
    <comment ref="B8" authorId="0" shapeId="0" xr:uid="{00000000-0006-0000-0D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text>
    </comment>
    <comment ref="B9" authorId="0" shapeId="0" xr:uid="{00000000-0006-0000-0D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D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D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D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2014 18,9 % (Arbeitgeberanteil: 9,45 %).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text>
    </comment>
    <comment ref="B12" authorId="0" shapeId="0" xr:uid="{00000000-0006-0000-0D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2014 18,9 %. Der anrechenbare Rentenbeitrag darf nicht höher als 19,5 % sein.</t>
        </r>
        <r>
          <rPr>
            <sz val="8"/>
            <color indexed="81"/>
            <rFont val="Tahoma"/>
            <family val="2"/>
          </rPr>
          <t xml:space="preserve">
</t>
        </r>
      </text>
    </comment>
    <comment ref="H13" authorId="0" shapeId="0" xr:uid="{00000000-0006-0000-0D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D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2014 25,1 %; der Arbeitgeberanteil beträgt 15,65 %.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D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(3-9)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t>
        </r>
      </text>
    </comment>
    <comment ref="B15" authorId="0" shapeId="0" xr:uid="{00000000-0006-0000-0D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2014 25,1 %.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D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D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D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D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D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D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D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D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D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D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D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D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D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D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D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D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D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D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D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D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D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D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D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D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D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D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D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D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D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D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D00-000029000000}">
      <text>
        <r>
          <rPr>
            <b/>
            <sz val="8"/>
            <color indexed="81"/>
            <rFont val="Tahoma"/>
            <family val="2"/>
          </rPr>
          <t xml:space="preserve">Erlass, Erstattung oder Vergütung in Sonderfällen § 55 EnergieStG
</t>
        </r>
        <r>
          <rPr>
            <sz val="8"/>
            <color indexed="81"/>
            <rFont val="Tahoma"/>
            <family val="2"/>
          </rPr>
          <t xml:space="preserve">(1)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(4-9)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(10) Entlastungsberechtigt ist das Unternehmen des Produzierenden Gewerbes, das die Energieerzeugnisse verwendet hat.</t>
        </r>
      </text>
    </comment>
    <comment ref="B49" authorId="0" shapeId="0" xr:uid="{00000000-0006-0000-0D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100-000001000000}">
      <text>
        <r>
          <rPr>
            <b/>
            <sz val="8"/>
            <color indexed="81"/>
            <rFont val="Tahoma"/>
            <family val="2"/>
          </rPr>
          <t xml:space="preserve">Steuerbefreiung (§ 9 StromStG): 
</t>
        </r>
        <r>
          <rPr>
            <sz val="8"/>
            <color indexed="81"/>
            <rFont val="Tahoma"/>
            <family val="2"/>
          </rPr>
          <t>Von der Steuer befreit ist Strom
1. Strom aus erneuerbaren Energieträgern, wenn dieser aus einem ausschließlich mit Strom aus 
    erneuerbaren Energieträgern gespeisten Netz oder einer entsprechenden Leitung entnommen 
    wird;
2. Strom, der zur Stromerzeugung entnommen wird;
3. Strom, der in Anlagen mit einer elektrischen Nennleistung von bis zu zwei Megawatt erzeugt
    wird und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t>
        </r>
      </text>
    </comment>
    <comment ref="B9" authorId="0" shapeId="0" xr:uid="{00000000-0006-0000-01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100-000003000000}">
      <text>
        <r>
          <rPr>
            <sz val="8"/>
            <color indexed="81"/>
            <rFont val="Tahoma"/>
            <family val="2"/>
          </rPr>
          <t>(2) Die Steuerentlastung beträgt 5,13 Euro für eine Megawattstunde.</t>
        </r>
      </text>
    </comment>
    <comment ref="B10" authorId="0" shapeId="0" xr:uid="{00000000-0006-0000-01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1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2018 18,6 % (Arbeitgeberanteil: 9,3 %).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1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2018 18,6 %. Der anrechenbare Rentenbeitrag darf nicht höher als 19,5 % sein.
</t>
        </r>
      </text>
    </comment>
    <comment ref="H13" authorId="0" shapeId="0" xr:uid="{00000000-0006-0000-01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1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2018 24,7 %; der Arbeitgeberanteil beträgt 15,4 %.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00000000-0006-0000-01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sz val="8"/>
            <color indexed="81"/>
            <rFont val="Tahoma"/>
            <family val="2"/>
          </rPr>
          <t>(3)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t>
        </r>
      </text>
    </comment>
    <comment ref="B15" authorId="0" shapeId="0" xr:uid="{00000000-0006-0000-01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2018 24,7 %.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1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1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1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1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100-00000F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1" authorId="0" shapeId="0" xr:uid="{00000000-0006-0000-0100-000010000000}">
      <text>
        <r>
          <rPr>
            <b/>
            <sz val="8"/>
            <color indexed="81"/>
            <rFont val="Arial"/>
            <family val="2"/>
          </rPr>
          <t>§ 53 Steuerentlastung für die Stromerzeugung</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22" authorId="0" shapeId="0" xr:uid="{00000000-0006-0000-0100-000011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22" authorId="1" shapeId="0" xr:uid="{00000000-0006-0000-01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100-000013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25" authorId="0" shapeId="0" xr:uid="{00000000-0006-0000-0100-000014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6" authorId="0" shapeId="0" xr:uid="{00000000-0006-0000-0100-000015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28" authorId="0" shapeId="0" xr:uid="{00000000-0006-0000-0100-000016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9" authorId="0" shapeId="0" xr:uid="{00000000-0006-0000-0100-000017000000}">
      <text>
        <r>
          <rPr>
            <b/>
            <sz val="8"/>
            <color indexed="81"/>
            <rFont val="Tahoma"/>
            <family val="2"/>
          </rPr>
          <t xml:space="preserve">§ 53 Steuerentlastung für die Stromerzeugung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0" authorId="0" shapeId="0" xr:uid="{00000000-0006-0000-0100-000018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H30" authorId="1" shapeId="0" xr:uid="{00000000-0006-0000-0100-000019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100-00001A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2" authorId="0" shapeId="0" xr:uid="{00000000-0006-0000-0100-00001B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4" authorId="0" shapeId="0" xr:uid="{00000000-0006-0000-0100-00001C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35" authorId="0" shapeId="0" xr:uid="{00000000-0006-0000-0100-00001D000000}">
      <text>
        <r>
          <rPr>
            <b/>
            <sz val="8"/>
            <color indexed="81"/>
            <rFont val="Tahoma"/>
            <family val="2"/>
          </rPr>
          <t xml:space="preserve">§ 53 Steuerentlastung für die Stromerzeugung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6" authorId="0" shapeId="0" xr:uid="{00000000-0006-0000-0100-00001E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H36" authorId="1" shapeId="0" xr:uid="{00000000-0006-0000-0100-00001F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100-000020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8" authorId="0" shapeId="0" xr:uid="{00000000-0006-0000-0100-000021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41" authorId="1" shapeId="0" xr:uid="{00000000-0006-0000-0100-000022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1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100-000024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100-000025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100-000026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t>
        </r>
      </text>
    </comment>
    <comment ref="B48" authorId="0" shapeId="0" xr:uid="{00000000-0006-0000-0100-000027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100-000028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100-000029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100-00002A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200-000001000000}">
      <text>
        <r>
          <rPr>
            <b/>
            <sz val="8"/>
            <color indexed="81"/>
            <rFont val="Tahoma"/>
            <family val="2"/>
          </rPr>
          <t xml:space="preserve">Steuerbefreiung (§ 9 StromStG): 
</t>
        </r>
        <r>
          <rPr>
            <sz val="8"/>
            <color indexed="81"/>
            <rFont val="Tahoma"/>
            <family val="2"/>
          </rPr>
          <t>Von der Steuer befreit ist Strom
1. Strom aus erneuerbaren Energieträgern, wenn dieser aus einem ausschließlich mit Strom aus 
    erneuerbaren Energieträgern gespeisten Netz oder einer entsprechenden Leitung entnommen 
    wird;
2. Strom, der zur Stromerzeugung entnommen wird;
3. Strom, der in Anlagen mit einer elektrischen Nennleistung von bis zu zwei Megawatt erzeugt
    wird und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t>
        </r>
      </text>
    </comment>
    <comment ref="B9" authorId="0" shapeId="0" xr:uid="{00000000-0006-0000-02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2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2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2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die Jahre 2016 und 2017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2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die Jahre 2016 und 2017 18,7 %. Der anrechenbare Rentenbeitrag darf nicht höher als 19,5 % sein.
</t>
        </r>
      </text>
    </comment>
    <comment ref="H13" authorId="0" shapeId="0" xr:uid="{00000000-0006-0000-02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2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die Jahre 2016 und 2017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2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2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die Jahre 2016 und 2017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2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2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2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2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2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2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2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(2)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2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2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2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2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2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2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2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2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2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2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2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2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2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2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2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2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2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2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2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2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2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2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2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2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2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2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300-000001000000}">
      <text>
        <r>
          <rPr>
            <b/>
            <sz val="8"/>
            <color indexed="81"/>
            <rFont val="Tahoma"/>
            <family val="2"/>
          </rPr>
          <t xml:space="preserve">Steuerbefreiung (§ 9 StromStG): 
</t>
        </r>
        <r>
          <rPr>
            <sz val="8"/>
            <color indexed="81"/>
            <rFont val="Tahoma"/>
            <family val="2"/>
          </rPr>
          <t>Von der Steuer befreit ist Strom
1. Strom aus erneuerbaren Energieträgern, wenn dieser aus einem ausschließlich mit Strom aus 
    erneuerbaren Energieträgern gespeisten Netz oder einer entsprechenden Leitung entnommen 
    wird;
2. Strom, der zur Stromerzeugung entnommen wird;
3. Strom, der in Anlagen mit einer elektrischen Nennleistung von bis zu zwei Megawatt erzeugt
    wird und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t>
        </r>
      </text>
    </comment>
    <comment ref="B9" authorId="0" shapeId="0" xr:uid="{00000000-0006-0000-03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300-000003000000}">
      <text>
        <r>
          <rPr>
            <sz val="8"/>
            <color indexed="81"/>
            <rFont val="Tahoma"/>
            <family val="2"/>
          </rPr>
          <t>(2) Die Steuerentlastung beträgt 5,13 Euro für eine Megawattstunde.</t>
        </r>
      </text>
    </comment>
    <comment ref="B10" authorId="0" shapeId="0" xr:uid="{00000000-0006-0000-03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3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die Jahre 2016 und 2017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3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die Jahre 2016 und 2017 18,7 %. Der anrechenbare Rentenbeitrag darf nicht höher als 19,5 % sein.
</t>
        </r>
      </text>
    </comment>
    <comment ref="H13" authorId="0" shapeId="0" xr:uid="{00000000-0006-0000-03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3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die Jahre 2016 und 2017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00000000-0006-0000-03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sz val="8"/>
            <color indexed="81"/>
            <rFont val="Tahoma"/>
            <family val="2"/>
          </rPr>
          <t>(3)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t>
        </r>
      </text>
    </comment>
    <comment ref="B15" authorId="0" shapeId="0" xr:uid="{00000000-0006-0000-03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die Jahre 2016 und 2017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3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3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3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3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3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3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3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(2)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3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3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3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3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3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3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3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3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3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3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3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3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3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3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3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3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3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3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3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3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3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3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t>
        </r>
      </text>
    </comment>
    <comment ref="B48" authorId="0" shapeId="0" xr:uid="{00000000-0006-0000-03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3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3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3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5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5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5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5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5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die Jahre 2016 und 2017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5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die Jahre 2016 und 2017 18,7 %. Der anrechenbare Rentenbeitrag darf nicht höher als 19,5 % sein.
</t>
        </r>
      </text>
    </comment>
    <comment ref="H13" authorId="0" shapeId="0" xr:uid="{00000000-0006-0000-05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5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die Jahre 2016 und 2017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5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5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die Jahre 2016 und 2017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5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5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5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5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5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5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5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(2)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5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5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5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5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5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5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5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5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5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5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5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5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5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5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5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5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5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5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5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5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5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5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5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5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5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5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6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6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6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6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6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die Jahre 2016 und 2017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6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die Jahre 2016 und 2017 18,7 %. Der anrechenbare Rentenbeitrag darf nicht höher als 19,5 % sein.
</t>
        </r>
      </text>
    </comment>
    <comment ref="H13" authorId="0" shapeId="0" xr:uid="{00000000-0006-0000-06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6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die Jahre 2016 und 2017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6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6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die Jahre 2016 und 2017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6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6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6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6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6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6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6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(2)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6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6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6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6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6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6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6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6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6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6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6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6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6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6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6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6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6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6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6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6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6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6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6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6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6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6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7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7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7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7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7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2015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7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2015 18,7 %. Der anrechenbare Rentenbeitrag darf nicht höher als 19,5 % sein.</t>
        </r>
        <r>
          <rPr>
            <sz val="8"/>
            <color indexed="81"/>
            <rFont val="Tahoma"/>
            <family val="2"/>
          </rPr>
          <t xml:space="preserve">
</t>
        </r>
      </text>
    </comment>
    <comment ref="H13" authorId="0" shapeId="0" xr:uid="{00000000-0006-0000-07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7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2015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7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7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2015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7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7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7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7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7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7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7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7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7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7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7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7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7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7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7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7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7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7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7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7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7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7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7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7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7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7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7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7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7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7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7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7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7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8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8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800-000003000000}">
      <text>
        <r>
          <rPr>
            <sz val="8"/>
            <color indexed="81"/>
            <rFont val="Tahoma"/>
            <family val="2"/>
          </rPr>
          <t>(2) Die Steuerentlastung beträgt 5,13 Euro für eine Megawattstunde.</t>
        </r>
      </text>
    </comment>
    <comment ref="B10" authorId="0" shapeId="0" xr:uid="{00000000-0006-0000-08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8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2015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8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2015 18,7 %. Der anrechenbare Rentenbeitrag darf nicht höher als 19,5 % sein.</t>
        </r>
        <r>
          <rPr>
            <sz val="8"/>
            <color indexed="81"/>
            <rFont val="Tahoma"/>
            <family val="2"/>
          </rPr>
          <t xml:space="preserve">
</t>
        </r>
      </text>
    </comment>
    <comment ref="H13" authorId="0" shapeId="0" xr:uid="{00000000-0006-0000-08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8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2015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H14" authorId="0" shapeId="0" xr:uid="{00000000-0006-0000-0800-000009000000}">
      <text>
        <r>
          <rPr>
            <b/>
            <sz val="8"/>
            <color indexed="81"/>
            <rFont val="Tahoma"/>
            <family val="2"/>
          </rPr>
          <t>§ 10 StromStG</t>
        </r>
        <r>
          <rPr>
            <sz val="8"/>
            <color indexed="81"/>
            <rFont val="Tahoma"/>
            <family val="2"/>
          </rPr>
          <t xml:space="preserve">
(1)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t>
        </r>
      </text>
    </comment>
    <comment ref="B15" authorId="0" shapeId="0" xr:uid="{00000000-0006-0000-08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2015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8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8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8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8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8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8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8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8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8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8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8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8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8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800-000018000000}">
      <text>
        <r>
          <rPr>
            <sz val="8"/>
            <color indexed="81"/>
            <rFont val="Tahoma"/>
            <family val="2"/>
          </rPr>
          <t xml:space="preserve">Aufgrund des Mindeststeuersatzes der EU gilt laut Erlass vom 18.12.2012 abweichend von § 53b Absatz 2 Nr. 2 eine Steuerermäßigung von nur 4,00 Euro/1000 kg.
</t>
        </r>
      </text>
    </comment>
    <comment ref="B30" authorId="0" shapeId="0" xr:uid="{00000000-0006-0000-08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8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8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8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8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8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8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8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8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8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8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8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8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8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8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t>
        </r>
      </text>
    </comment>
    <comment ref="B48" authorId="0" shapeId="0" xr:uid="{00000000-0006-0000-08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8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8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800-00002B000000}">
      <text>
        <r>
          <rPr>
            <b/>
            <sz val="8"/>
            <color indexed="81"/>
            <rFont val="Tahoma"/>
            <family val="2"/>
          </rPr>
          <t>Hinweis:</t>
        </r>
        <r>
          <rPr>
            <sz val="8"/>
            <color indexed="81"/>
            <rFont val="Tahoma"/>
            <family val="2"/>
          </rPr>
          <t xml:space="preserve">
Die hier angewandten Steuersätze der Energiesteuer stellen die "Ökosteuersätze" dar und nicht die vollen Energiesteuersätze, die auch den früheren Mineralölsteueranteil enthalten.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s>
  <commentList>
    <comment ref="B8" authorId="0" shapeId="0" xr:uid="{00000000-0006-0000-0A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A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A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A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A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2014 18,9 % (Arbeitgeberanteil: 9,45 %).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text>
    </comment>
    <comment ref="B12" authorId="0" shapeId="0" xr:uid="{00000000-0006-0000-0A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2014 18,9 %. Der anrechenbare Rentenbeitrag darf nicht höher als 19,5 % sein.</t>
        </r>
        <r>
          <rPr>
            <sz val="8"/>
            <color indexed="81"/>
            <rFont val="Tahoma"/>
            <family val="2"/>
          </rPr>
          <t xml:space="preserve">
</t>
        </r>
      </text>
    </comment>
    <comment ref="H13" authorId="0" shapeId="0" xr:uid="{00000000-0006-0000-0A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A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2014 25,1 %; der Arbeitgeberanteil beträgt 15,65 %.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A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(3-9)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t>
        </r>
      </text>
    </comment>
    <comment ref="B15" authorId="0" shapeId="0" xr:uid="{00000000-0006-0000-0A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2014 25,1 %.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A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A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A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A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A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A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A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A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A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A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A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A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A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A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A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A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A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A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A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A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A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A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A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A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A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A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A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A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A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A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A00-000029000000}">
      <text>
        <r>
          <rPr>
            <b/>
            <sz val="8"/>
            <color indexed="81"/>
            <rFont val="Tahoma"/>
            <family val="2"/>
          </rPr>
          <t xml:space="preserve">Erlass, Erstattung oder Vergütung in Sonderfällen § 55 EnergieStG
</t>
        </r>
        <r>
          <rPr>
            <sz val="8"/>
            <color indexed="81"/>
            <rFont val="Tahoma"/>
            <family val="2"/>
          </rPr>
          <t xml:space="preserve">(1)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(4-9)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(10) Entlastungsberechtigt ist das Unternehmen des Produzierenden Gewerbes, das die Energieerzeugnisse verwendet hat.</t>
        </r>
      </text>
    </comment>
    <comment ref="B49" authorId="0" shapeId="0" xr:uid="{00000000-0006-0000-0A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List>
</comments>
</file>

<file path=xl/sharedStrings.xml><?xml version="1.0" encoding="utf-8"?>
<sst xmlns="http://schemas.openxmlformats.org/spreadsheetml/2006/main" count="1520" uniqueCount="207">
  <si>
    <t>Erstattungsanspruch nach § 55 EnergieStG</t>
  </si>
  <si>
    <t>nachrichtlich: verbleibende Belastung aus der Stromsteuer</t>
  </si>
  <si>
    <t>Eintragung der Unternehmensdaten</t>
  </si>
  <si>
    <t>Position</t>
  </si>
  <si>
    <t>Menge</t>
  </si>
  <si>
    <t>Abzug Sockelbetrag</t>
  </si>
  <si>
    <t>€</t>
  </si>
  <si>
    <t>Erläuterung</t>
  </si>
  <si>
    <t>Menge Erdgas [MWh]</t>
  </si>
  <si>
    <t>Menge Flüssiggase [1.000 kg]</t>
  </si>
  <si>
    <t xml:space="preserve">Gesamt-Stromverbrauchsmenge [MWh] </t>
  </si>
  <si>
    <t>anrechenbare Stromsteuer abzügl. Entlastung RVB</t>
  </si>
  <si>
    <t>abzüglich Entlastung Rentenversicherungsbeiträge (RVB)</t>
  </si>
  <si>
    <r>
      <t xml:space="preserve">bitte Daten nur unter "Menge" und für den Zeitraum </t>
    </r>
    <r>
      <rPr>
        <b/>
        <sz val="7"/>
        <rFont val="Arial"/>
        <family val="2"/>
      </rPr>
      <t>innerhalb des Kalenderjahres</t>
    </r>
    <r>
      <rPr>
        <sz val="7"/>
        <rFont val="Arial"/>
        <family val="2"/>
      </rPr>
      <t xml:space="preserve"> eintragen, der vom </t>
    </r>
    <r>
      <rPr>
        <sz val="7"/>
        <rFont val="Arial"/>
        <family val="2"/>
      </rPr>
      <t>Unternehmen und mit dem Hauptzollamt abgestimmt zur Erstattung gewählt worden ist.</t>
    </r>
  </si>
  <si>
    <r>
      <t xml:space="preserve">Senkung des Arbeitgeberanteils** </t>
    </r>
    <r>
      <rPr>
        <sz val="10"/>
        <rFont val="Arial"/>
        <family val="2"/>
      </rPr>
      <t>an den Rentenversicherungsbeiträgen</t>
    </r>
  </si>
  <si>
    <t>Grenzen RVB</t>
  </si>
  <si>
    <t>anrechenbarer Betrag</t>
  </si>
  <si>
    <t>Stromsteuer</t>
  </si>
  <si>
    <t>davon voll erstattungsfähig (nach § 51 EnergieStG)</t>
  </si>
  <si>
    <t>davon voll erstattungsfähig (nach § 53 EnergieStG)</t>
  </si>
  <si>
    <t>Energiesteuer Gasöl (§ 51 EnergieStG)</t>
  </si>
  <si>
    <t>Energiesteuer Gasöl (§ 53 EnergieStG)</t>
  </si>
  <si>
    <t>Energiesteuer Erdgas (§ 51 EnergieStG)</t>
  </si>
  <si>
    <t>Energiesteuer Erdgas (§ 53 EnergieStG)</t>
  </si>
  <si>
    <t>Energiesteuervergünstigung Gasöl für produzierende Unternehmen (§ 54 EnergieStG)</t>
  </si>
  <si>
    <t>Energiesteuervergünstigung Erdgas für produzierende Unternehmen (§ 54 EnergieStG)</t>
  </si>
  <si>
    <t>Energiesteuervergünstigung Flüssiggas für produzierende Unternehmen (§ 54 EnergieStG)</t>
  </si>
  <si>
    <t>Energiesteuer Flüssiggas (§ 51 EnergieStG)</t>
  </si>
  <si>
    <t>Energiesteuer Flüssiggas (§ 53 EnergieStG)</t>
  </si>
  <si>
    <t>davon steuerbefreiter Strom (§ 9 Abs. 1 StromStG) [MWh]</t>
  </si>
  <si>
    <r>
      <t>Erstattungsanspruch</t>
    </r>
    <r>
      <rPr>
        <sz val="12"/>
        <rFont val="Arial"/>
        <family val="2"/>
      </rPr>
      <t xml:space="preserve"> für </t>
    </r>
    <r>
      <rPr>
        <u/>
        <sz val="12"/>
        <rFont val="Arial"/>
        <family val="2"/>
      </rPr>
      <t>versteuerten</t>
    </r>
    <r>
      <rPr>
        <sz val="12"/>
        <rFont val="Arial"/>
        <family val="2"/>
      </rPr>
      <t xml:space="preserve"> Strom für befreite Anwendungen (§ 9 Abs. 1 StromStG)</t>
    </r>
  </si>
  <si>
    <t>nachrichtlich: Vergütungsanspruch insgesamt</t>
  </si>
  <si>
    <t>Energie- und Stromsteuerberechnung</t>
  </si>
  <si>
    <t>(61,35 € / 1000 l)</t>
  </si>
  <si>
    <t>(5,50 € / MWh)</t>
  </si>
  <si>
    <t>(60,60 € / 1000 kg)</t>
  </si>
  <si>
    <t>Menge Gasöl (leichtes Heizöl) [1.000 l]</t>
  </si>
  <si>
    <r>
      <t xml:space="preserve">Regelfall: Arbeitgeberanteil AGA* (halber Beitrag an allg. Rentenversicherung) </t>
    </r>
    <r>
      <rPr>
        <sz val="10"/>
        <rFont val="Arial"/>
        <family val="2"/>
      </rPr>
      <t>[€]</t>
    </r>
  </si>
  <si>
    <t>Ausnahme: AGA* (voller Beitrag an allgemeiner Rentenversicherung) [€]</t>
  </si>
  <si>
    <r>
      <t>Regelfall: AGA* (Teil-Beitrag an knappschaftlicher Rentenversicherung)</t>
    </r>
    <r>
      <rPr>
        <sz val="10"/>
        <rFont val="Arial"/>
        <family val="2"/>
      </rPr>
      <t xml:space="preserve"> ([€]</t>
    </r>
  </si>
  <si>
    <t>Ausnahme: AGA* (voller Beitrag an knappschaftlicher Rentenversicherung) ([€]</t>
  </si>
  <si>
    <t>Vergütungsanspruch Energiesteuer</t>
  </si>
  <si>
    <t>Berechnung Vergütung der Energiesteuer in Sonderfällen (§ 55 EnergieStG)</t>
  </si>
  <si>
    <t>potenzielle Steuerentlastung Strommenge zur Versteuerung nach § 9b StromStG</t>
  </si>
  <si>
    <t>abzugspflichtiger nicht erstattungsfähiger Sockelbetrag  (§ 9b (1) StromStG)</t>
  </si>
  <si>
    <t>Erstattungsanspruch Stromsteuer nach § 9b StromStG</t>
  </si>
  <si>
    <t>verbleibende Steuerbelastung (nach Abzug der Erstattung nach § 9b StromStG)</t>
  </si>
  <si>
    <t>Steueranteil nach § 55 Abs. 3 EnergieStG</t>
  </si>
  <si>
    <t>Sockelbetrag wurde bereits in früheren Quartalen gezahlt</t>
  </si>
  <si>
    <t>Steueranteil nach § 55 Abs. 3 EnergieStG (Sockelbetrag wurde bereits in früheren Quartalen gezahlt)</t>
  </si>
  <si>
    <t>Strommenge zur Versteuerung nach § 9b StromStG</t>
  </si>
  <si>
    <t>nachrichtlich: verbleibende Energie- und Stromsteuerbelastung</t>
  </si>
  <si>
    <t>(Gesamtstrommenge x 5,13 €)</t>
  </si>
  <si>
    <t>(~49 MWh x 5,13 €))</t>
  </si>
  <si>
    <t>davon 90 %</t>
  </si>
  <si>
    <t>(15,34 €/1.000 l)</t>
  </si>
  <si>
    <t>(1,38 € / MWh)</t>
  </si>
  <si>
    <t>(15,15 € / 1000 kg)</t>
  </si>
  <si>
    <t>der Sockelbetrag von 250,00 € wurde bereits in einem Erstattungsantrag des gleichen Kalenderjahres abgezogen</t>
  </si>
  <si>
    <t>der Sockelbetrag von 1000,00 € wurde bereits in einem Erstattungsantrag des gleichen Kalenderjahres abgezogen</t>
  </si>
  <si>
    <r>
      <t xml:space="preserve">verbleibende Steuerbelastung abzüglich Sockelbetrag </t>
    </r>
    <r>
      <rPr>
        <sz val="10"/>
        <rFont val="Arial"/>
        <family val="2"/>
      </rPr>
      <t>(1000,00 €</t>
    </r>
    <r>
      <rPr>
        <sz val="10"/>
        <rFont val="Arial"/>
        <family val="2"/>
      </rPr>
      <t>)</t>
    </r>
  </si>
  <si>
    <t>nachrichtlich: Energie- und Stromsteuer vor Entlastung</t>
  </si>
  <si>
    <t>Allgemeiner Rentenversicherungssatz (aRVS) 2012 / Anrechenbarer aRVS</t>
  </si>
  <si>
    <t>voller knappschaftlicher Rentenversicherungssatz (kRVS) 2012 / Anrechenbarer kRVS</t>
  </si>
  <si>
    <t>Teilbeitrag am kRVS 2012 / Anrechenbarer kRVS</t>
  </si>
  <si>
    <r>
      <rPr>
        <sz val="16"/>
        <rFont val="Arial"/>
        <family val="2"/>
      </rPr>
      <t xml:space="preserve">Steuerjahr 2012  - </t>
    </r>
    <r>
      <rPr>
        <sz val="12"/>
        <rFont val="Arial"/>
        <family val="2"/>
      </rPr>
      <t xml:space="preserve"> Bitte beachten Sie die </t>
    </r>
    <r>
      <rPr>
        <b/>
        <sz val="12"/>
        <rFont val="Arial"/>
        <family val="2"/>
      </rPr>
      <t>Verweise</t>
    </r>
    <r>
      <rPr>
        <sz val="12"/>
        <rFont val="Arial"/>
        <family val="2"/>
      </rPr>
      <t xml:space="preserve">.  </t>
    </r>
  </si>
  <si>
    <t>davon teilweise erstattungsfähig (nach § 53b EnergieStG)</t>
  </si>
  <si>
    <t>Energiesteuer Gasöl (§ 53a EnergieStG)</t>
  </si>
  <si>
    <t>Energiesteuer Gasöl (§ 53b EnergieStG)</t>
  </si>
  <si>
    <t>(40,35 € / 1000 l)</t>
  </si>
  <si>
    <t>(25,00 € / 1000 kg)</t>
  </si>
  <si>
    <t>Energiesteuer "Schweres" Heizöl für KWK (§§ 51, 53 bzw. 53a EnergieStG)</t>
  </si>
  <si>
    <t>Energiesteuer Erdgas (§ 53a EnergieStG)</t>
  </si>
  <si>
    <t>(4,96 € / MWh)</t>
  </si>
  <si>
    <t>Energiesteuer Flüssiggas (§ 53a EnergieStG)</t>
  </si>
  <si>
    <t>Energiesteuer Flüssiggas (§ 53b (1) EnergieStG)</t>
  </si>
  <si>
    <t>Energiesteuer Flüssiggas (§ 53b (4) EnergieStG)</t>
  </si>
  <si>
    <t>(19,60 € / 1000 kg)</t>
  </si>
  <si>
    <t>Energiesteuer Erdgas (§ 53b (3) EnergieStG)</t>
  </si>
  <si>
    <t>Energiesteuer Erdgas (§ 53b (4) EnergieStG)</t>
  </si>
  <si>
    <t>(4,42 € / MWh)</t>
  </si>
  <si>
    <t>davon teilweise erstattungsfähig (nach § 53b (3) EnergieStG)</t>
  </si>
  <si>
    <t>davon teilweise erstattungsfähig (nach § 53b (4) EnergieStG)</t>
  </si>
  <si>
    <r>
      <rPr>
        <b/>
        <sz val="8"/>
        <rFont val="Arial"/>
        <family val="2"/>
      </rPr>
      <t>Antragsfristen</t>
    </r>
    <r>
      <rPr>
        <sz val="8"/>
        <rFont val="Arial"/>
        <family val="2"/>
      </rPr>
      <t xml:space="preserve">
Für alle Arten der Steuerentlastung bzw. -ermäßigung des Energie- und des Stromsteuergesetzes gilt: 
Anträge müssen beim zuständigen Hauptzollamt bis zum 31. Dezember des Jahres beantragt werden, das auf das Jahr der Verwendung folgt. 
Der "Abrechnungs"zeitraum der Steuererstattung kann vom Antragsteller gewählt werden: In der Regel erfolgt die Entlastung viertel-, halb- oder ganzjährlich, auf besonderen Antrag auch monatlich oder sofort. Bei unterjährigen Erstattungsanträgen muss abschließend in jedem Fall ein zusammenfassender Jahresantrag gestellt werden.</t>
    </r>
  </si>
  <si>
    <t>Vergütungsanspruch der Energiesteuer (§§ 51, 53; 53a; 53b und 54 EnergieStG)</t>
  </si>
  <si>
    <t>davon voll erstattungsfähig (nach § 53b (1) EnergieStG)</t>
  </si>
  <si>
    <t>Vergütungsanspruch Energiesteuer (§§ 51, 53; 53a; 53b und 54 EnergieStG)</t>
  </si>
  <si>
    <t>davon Strom für bestimmte Prozesse und Verfahren nach § 9a StromStG) [MWh]</t>
  </si>
  <si>
    <r>
      <t>Erstattungsanspruch</t>
    </r>
    <r>
      <rPr>
        <sz val="12"/>
        <rFont val="Arial"/>
        <family val="2"/>
      </rPr>
      <t xml:space="preserve"> für </t>
    </r>
    <r>
      <rPr>
        <u/>
        <sz val="12"/>
        <rFont val="Arial"/>
        <family val="2"/>
      </rPr>
      <t>versteuerten</t>
    </r>
    <r>
      <rPr>
        <sz val="12"/>
        <rFont val="Arial"/>
        <family val="2"/>
      </rPr>
      <t xml:space="preserve"> Strom für bestimmte Prozesse und Verfahren (§ 9a StromStG)</t>
    </r>
  </si>
  <si>
    <t>davon voll erstattungsfähig (nach § 53 EnergieStG alt) → bis 31.3.2012</t>
  </si>
  <si>
    <t>davon teilweise erstattungsfähig (nach § 53b EnergieStG neu) → ab 1.4.2012</t>
  </si>
  <si>
    <t>davon voll erstattungsfähig (nach § 53 EnergieStG) → ab 1.4.2012</t>
  </si>
  <si>
    <t>davon teilweise erstattungsfähig (nach § 53b (3) EnergieStG) → ab 1.4.2012</t>
  </si>
  <si>
    <t>davon teilweise erstattungsfähig (nach § 53b (4) EnergieStG) → ab 1.4.2012</t>
  </si>
  <si>
    <t>davon voll erstattungsfähig (nach § 53b (1) EnergieStG) → ab 1.4.2012</t>
  </si>
  <si>
    <t>Energiesteuer Erdgas (§ 53b (3) EnergieStG) ab 1.4.2012</t>
  </si>
  <si>
    <t>Energiesteuer Erdgas (§ 53b (4) EnergieStG) ab 1.4.2012</t>
  </si>
  <si>
    <t>Energiesteuer Flüssiggas (§ 53b (1) EnergieStG) ab 1.4.2012</t>
  </si>
  <si>
    <t>Energiesteuer Flüssiggas (§ 53b (4) EnergieStG) ab 1.4.2012</t>
  </si>
  <si>
    <r>
      <rPr>
        <b/>
        <sz val="13"/>
        <rFont val="Arial"/>
        <family val="2"/>
      </rPr>
      <t>Erstattungsanspruch nach § 55 EnergieStG</t>
    </r>
    <r>
      <rPr>
        <b/>
        <sz val="13"/>
        <color indexed="9"/>
        <rFont val="Arial"/>
        <family val="2"/>
      </rPr>
      <t xml:space="preserve">
</t>
    </r>
    <r>
      <rPr>
        <sz val="10"/>
        <rFont val="Arial"/>
        <family val="2"/>
      </rPr>
      <t>Bei unterjährigen Erstattungsanträgen muss bis 31.12. des Jahres, das auf das Verbrauchsjahr folgt, ein zusammenfassender Jahresantrag gestellt werden.</t>
    </r>
  </si>
  <si>
    <t>davon voll erstattungsfähig (nach § 53a EnergieStG)</t>
  </si>
  <si>
    <r>
      <rPr>
        <b/>
        <sz val="10"/>
        <rFont val="Arial"/>
        <family val="2"/>
      </rPr>
      <t>Antragsfristen</t>
    </r>
    <r>
      <rPr>
        <sz val="10"/>
        <rFont val="Arial"/>
        <family val="2"/>
      </rPr>
      <t xml:space="preserve">
Für alle Arten der Steuerentlastung bzw. -ermäßigung des Energie- und des Stromsteuergesetzes gilt: 
Anträge müssen beim zuständigen Hauptzollamt bis zum 31. Dezember des Jahres beantragt werden, das auf das Jahr der Verwendung folgt. 
Der "Abrechnungs"zeitraum der Steuererstattung kann vom Antragsteller gewählt werden: In der Regel erfolgt die Entlastung viertel-, halb- oder ganzjährlich, auf besonderen Antrag auch monatlich oder sofort. Bei unterjährigen Erstattungsanträgen muss abschließend in jedem Fall ein zusammenfassender Jahresantrag gestellt werden.
</t>
    </r>
    <r>
      <rPr>
        <b/>
        <sz val="10"/>
        <rFont val="Arial"/>
        <family val="2"/>
      </rPr>
      <t xml:space="preserve">Formulare: </t>
    </r>
    <r>
      <rPr>
        <sz val="10"/>
        <rFont val="Arial"/>
        <family val="2"/>
      </rPr>
      <t>www.zoll.de</t>
    </r>
    <r>
      <rPr>
        <b/>
        <sz val="10"/>
        <rFont val="Arial"/>
        <family val="2"/>
      </rPr>
      <t xml:space="preserve"> </t>
    </r>
  </si>
  <si>
    <t>davon voll erstattungsfähig (nach § 53a EnergieStG neu) → ab 1.4.2012</t>
  </si>
  <si>
    <t>davon voll erstattungsfähig (nach § 53a EnergieStG) → ab 1.4.2012</t>
  </si>
  <si>
    <t>Energiesteuer Erdgas (§ 53a EnergieStG) ab 1.4.2012</t>
  </si>
  <si>
    <t>Energiesteuer Gasöl (§ 53a EnergieStG) ab 1.4.2012</t>
  </si>
  <si>
    <t>Energiesteuer Gasöl (§ 53b EnergieStG) ab 1.4.2012</t>
  </si>
  <si>
    <t>Energiesteuer Flüssiggas (§ 53a EnergieStG) ab 1.4.2012</t>
  </si>
  <si>
    <t>Energiesteuer "Schweres" Heizöl für KWK (§§ 51 bzw. 53 EnergieStG)</t>
  </si>
  <si>
    <r>
      <rPr>
        <b/>
        <sz val="8"/>
        <rFont val="Arial"/>
        <family val="2"/>
      </rPr>
      <t xml:space="preserve">* AGA = Arbeitgeberanteil an den Rentenversicherungsbeiträgen (bitte verschiedene Eingabefelder nutzen)
</t>
    </r>
    <r>
      <rPr>
        <sz val="8"/>
        <rFont val="Arial"/>
        <family val="2"/>
      </rPr>
      <t xml:space="preserve">
**    = Die Absenkung des Arbeitgeberanteils entspricht gemäß Energiesteuergesetz dem
           Unterschiedsbeitrag zwischen 
           1. dem Arbeitgeberanteil an den Rentenvericherungsbeiträgen, der sich für das Unternehmen
               errechnet, wenn der Beitragssatz in der 
               a) allgemeinen Rentenversicherung 20,3 und in der
               b) knappschaftlichen Rentenversicherung 26,9 Prozent betragen hätte, und
           2. dem Arbeitgeberanteil an den Rentenvericherungsbeiträgen, der sich für das Unternehmen
               errechnet,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                  </t>
    </r>
  </si>
  <si>
    <r>
      <rPr>
        <b/>
        <sz val="8.5"/>
        <rFont val="Arial"/>
        <family val="2"/>
      </rPr>
      <t xml:space="preserve">Benzin </t>
    </r>
    <r>
      <rPr>
        <sz val="8.5"/>
        <rFont val="Arial"/>
        <family val="2"/>
      </rPr>
      <t xml:space="preserve">- mit einem Schwefelgehalt von mehr als 10 mg/kg (Tarif: 669,80 EUR/1000 l) </t>
    </r>
    <r>
      <rPr>
        <b/>
        <sz val="8.5"/>
        <rFont val="Arial"/>
        <family val="2"/>
      </rPr>
      <t>[1.000 l]</t>
    </r>
  </si>
  <si>
    <r>
      <rPr>
        <b/>
        <sz val="8.5"/>
        <rFont val="Arial"/>
        <family val="2"/>
      </rPr>
      <t>Benzin</t>
    </r>
    <r>
      <rPr>
        <sz val="8.5"/>
        <rFont val="Arial"/>
        <family val="2"/>
      </rPr>
      <t xml:space="preserve"> mit einem Schwefelgehalt von max 10 mg/kg</t>
    </r>
    <r>
      <rPr>
        <b/>
        <sz val="8.5"/>
        <rFont val="Arial"/>
        <family val="2"/>
      </rPr>
      <t xml:space="preserve">, Flugturbinenkraftstoff, Kerosin </t>
    </r>
    <r>
      <rPr>
        <sz val="8.5"/>
        <rFont val="Arial"/>
        <family val="2"/>
      </rPr>
      <t xml:space="preserve">(654,50 Eur/1000 l) </t>
    </r>
    <r>
      <rPr>
        <b/>
        <sz val="8.5"/>
        <rFont val="Arial"/>
        <family val="2"/>
      </rPr>
      <t>[1.000 l]</t>
    </r>
  </si>
  <si>
    <r>
      <rPr>
        <b/>
        <sz val="8.5"/>
        <rFont val="Arial"/>
        <family val="2"/>
      </rPr>
      <t xml:space="preserve">Flugbenzin, Motorenbenzin </t>
    </r>
    <r>
      <rPr>
        <sz val="8.5"/>
        <rFont val="Arial"/>
        <family val="2"/>
      </rPr>
      <t>mit einem Bleigehalt von &gt; 0,013 g/l</t>
    </r>
    <r>
      <rPr>
        <b/>
        <sz val="8.5"/>
        <rFont val="Arial"/>
        <family val="2"/>
      </rPr>
      <t xml:space="preserve"> </t>
    </r>
    <r>
      <rPr>
        <sz val="8.5"/>
        <rFont val="Arial"/>
        <family val="2"/>
      </rPr>
      <t xml:space="preserve">(721,00 Eur/1000 l) </t>
    </r>
    <r>
      <rPr>
        <b/>
        <sz val="8.5"/>
        <rFont val="Arial"/>
        <family val="2"/>
      </rPr>
      <t>[1.000 l]</t>
    </r>
  </si>
  <si>
    <r>
      <rPr>
        <b/>
        <sz val="8.5"/>
        <rFont val="Arial"/>
        <family val="2"/>
      </rPr>
      <t>Hinweis: Entlastung/Ermäßigung nach §§ 53 bis 55:</t>
    </r>
    <r>
      <rPr>
        <sz val="8.5"/>
        <rFont val="Arial"/>
        <family val="2"/>
      </rPr>
      <t xml:space="preserve"> Bitte tragen Sie die jeweiligen Kraftstoffmengen in den entsprechenden Feldern C19 bis C24 ein.</t>
    </r>
  </si>
  <si>
    <t>(Summe )</t>
  </si>
  <si>
    <t>Erstattungsanspruch nach § 49 Abs. 2a EnergieStG</t>
  </si>
  <si>
    <r>
      <rPr>
        <b/>
        <sz val="8"/>
        <rFont val="Arial"/>
        <family val="2"/>
      </rPr>
      <t>* AGA = Arbeitgeberanteil an den Rentenversicherungsbeiträgen (bitte verschiedene Eingabefelder nutzen)</t>
    </r>
    <r>
      <rPr>
        <sz val="8"/>
        <rFont val="Arial"/>
        <family val="2"/>
      </rPr>
      <t xml:space="preserve">
**    = Die Absenkung des Arbeitgeberanteils entspricht gemäß Energiesteuergesetz dem
           Unterschiedsbeitrag zwischen 
           1. dem Arbeitgeberanteil an den Rentenvericherungsbeiträgen, der sich für das Unternehmen
               errechnet, wenn der Beitragssatz in der 
               a) allgemeinen Rentenversicherung 20,3 und in der
               b) knappschaftlichen Rentenversicherung 26,9 Prozent betragen hätte, und
           2. dem Arbeitgeberanteil an den Rentenvericherungsbeiträgen, der sich für das Unternehmen
               errechnet,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</si>
  <si>
    <r>
      <rPr>
        <b/>
        <sz val="8"/>
        <rFont val="Arial"/>
        <family val="2"/>
      </rPr>
      <t>* AGA = Arbeitgeberanteil an den Rentenversicherungsbeiträgen (bitte verschiedene Eingabefelder nutzen)</t>
    </r>
    <r>
      <rPr>
        <sz val="8"/>
        <rFont val="Arial"/>
        <family val="2"/>
      </rPr>
      <t xml:space="preserve">
**    = Die Absenkung des Arbeitgeberanteils entspricht gemäß Energiesteuergesetz dem
           Unterschiedsbeitrag zwischen 
           1. dem Arbeitgeberanteil an den Rentenvericherungsbeiträgen, der sich für das Unternehmen
               errechnet, wenn der Beitragssatz in der 
               a) allgemeinen Rentenversicherung 20,3 und in der
               b) knappschaftlichen Rentenversicherung 26,9 Prozent betragen hätte, und
           2. dem Arbeitgeberanteil an den Rentenvericherungsbeiträgen, der sich für das Unternehmen
               errechnet,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  </t>
    </r>
  </si>
  <si>
    <t>Menge [1000 l]</t>
  </si>
  <si>
    <t>Sonderfall Ottokraftstoffe</t>
  </si>
  <si>
    <r>
      <rPr>
        <b/>
        <sz val="9"/>
        <rFont val="Arial"/>
        <family val="2"/>
      </rPr>
      <t xml:space="preserve">Summe voll versteuerter Kraftstoffe, die zum Verheizen, zur Erzeugung von Strom oder in Kraft-Wärme-Kopplungs-Anlagen verwendeter worden sind [1.000 l]
</t>
    </r>
    <r>
      <rPr>
        <sz val="9"/>
        <rFont val="Arial"/>
        <family val="2"/>
      </rPr>
      <t>Ermäßigung auf den Steuersatz für leichtes Heizöl (nach § 49 Abs 2a EnergieStG)</t>
    </r>
  </si>
  <si>
    <t>Erstattungsanspruch in Sonderfällen (§ 55 EnergieStG - "Spitzenausgleich")</t>
  </si>
  <si>
    <t>Erstattungsanspruch in Sonderfällen (nach § 10 StromStG - "Spitzenausgleich")</t>
  </si>
  <si>
    <t>(10,00 € / 1000 kg)</t>
  </si>
  <si>
    <t>(4,00 € / 1000 kg)</t>
  </si>
  <si>
    <t>davon teilweise erstattungsfähig (nach § 53b (1) EnergieStG)</t>
  </si>
  <si>
    <t>davon teilweise erstattungsfähig (nach § 53b (1) EnergieStG neu) → ab 1.4.2012</t>
  </si>
  <si>
    <t>davon teilweise erstattungsfähig (nach § 53b (4) EnergieStG neu) → ab 1.4.2012</t>
  </si>
  <si>
    <t>Vergütungsanspruch der Energiesteuer (§§ 51, 53, 53a, 53b und 54 EnergieStG)</t>
  </si>
  <si>
    <t>Energiesteuer "Schweres" Heizöl für KWK (§ 53 b (1) EnergieStG) ab 1.4.2012</t>
  </si>
  <si>
    <t>Energiesteuer "Schweres" Heizöl für KWK (§ 53 b (4) EnergieStG) ab 1.4.2012</t>
  </si>
  <si>
    <t>Energiesteuer "Schweres" Heizöl für KWK (§ 53 b (1) EnergieStG)</t>
  </si>
  <si>
    <t>Energiesteuer "Schweres" Heizöl für KWK (§ 53 b (4) EnergieStG)</t>
  </si>
  <si>
    <t>Energiesteuer "Schweres" Heizöl für KWK (§ 53 b Abs. 1 EnergieStG)</t>
  </si>
  <si>
    <t>Energiesteuer "Schweres" Heizöl für KWK (§ 53 b Abs. 4 EnergieStG)</t>
  </si>
  <si>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1132)
§ 53b (1) EnerStG: Steuerentlastung für das Verheizen in Anlagen zur gekoppelten Erzeugung von Kraft und Wärme (Vordruck 1133)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 55 EnerStG / § 10 StromStG: Steuerentlastung von der Stromsteuer und/oder Energiesteuer in Sonderfällen (Vordruck 1450)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</si>
  <si>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t>§ 49 Abs. 2a EnerStG: Steuerentlastung für zum Verheizen oder in begünstigten Anlagen verwendete Energieerzeugnisse (Vorduck 1100)
§ 51 EnerStG: Steuerentlastung für bestimmte Prozesse und Verfahren (Vordruck 1115)
§ 53 EnerStG: Steuerentlastung für die Stromerzeugung und KWK-Anlagen (Vordruck 1117)
neu: § 53 EnerStG: Steuerentlastung für die Stromerzeugung (Vordruck 1131) 
neu: § 53a EnergieStG: Steuerentlastung für die gekoppelte Erzeugung von Kraft und Wärme (Vordruck 1132)
neu § 53b (1) EnerStG: Steuerentlastung für das Verheizen in Anlagen zur gekoppelten Erzeugung von Kraft und Wärme (Vordruck 1133)
neu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 55 EnerStG / § 10 StromStG: Steuerentlastung von der Stromsteuer und/oder Energiesteuer in Sonderfällen (Vordruck 1450)
§ 9a StromStG: Steuerentlastung für bestimmte Prozesse und Verfahren (Vordruck 1452)
§ 9b StromStG: Steuerentlastung für Unternehmen (Vordruck 1453)
Selbsterklärung des Nutzers von Nutzenergien (Vordruck 1456)</t>
  </si>
  <si>
    <r>
      <t xml:space="preserve">Menge "Schweres Heizöl" (1.000 kg) </t>
    </r>
    <r>
      <rPr>
        <sz val="10"/>
        <rFont val="Arial"/>
        <family val="2"/>
      </rPr>
      <t>(nach § 51 bzw. 53 EnergieStG)</t>
    </r>
  </si>
  <si>
    <r>
      <t xml:space="preserve">Menge "Schweres Heizöl" (1.000 kg)  </t>
    </r>
    <r>
      <rPr>
        <sz val="10"/>
        <rFont val="Arial"/>
        <family val="2"/>
      </rPr>
      <t>(nach § 51 bzw. 53 EnergieStG)</t>
    </r>
  </si>
  <si>
    <r>
      <t>Menge "Schweres Heizöl" (1.000 kg)</t>
    </r>
    <r>
      <rPr>
        <sz val="10"/>
        <rFont val="Arial"/>
        <family val="2"/>
      </rPr>
      <t xml:space="preserve"> (nach § 51 bzw. 53 EnergieStG)</t>
    </r>
  </si>
  <si>
    <r>
      <t xml:space="preserve">Sonderfall Ottokraftstoffe
Summe voll versteuerter Kraftstoffe, die zum Verheizen, zur Erzeugung von Strom oder in Kraft-Wärme-Kopplungs-Anlagen verwendeter worden sind [1.000 l]
</t>
    </r>
    <r>
      <rPr>
        <sz val="9"/>
        <rFont val="Arial"/>
        <family val="2"/>
      </rPr>
      <t>Ermäßigung auf den Steuersatz für leichtes Heizöl (nach § 49 Abs 2a EnergieStG)</t>
    </r>
  </si>
  <si>
    <r>
      <rPr>
        <b/>
        <sz val="10"/>
        <rFont val="Arial"/>
        <family val="2"/>
      </rPr>
      <t>Herausgeber: Industrie- und Handelskammer Lippe zu Detmold</t>
    </r>
    <r>
      <rPr>
        <sz val="10"/>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10"/>
        <rFont val="Arial"/>
        <family val="2"/>
      </rPr>
      <t>Stand 11/2013 (Version inkl. § 49 Abs. 2)</t>
    </r>
    <r>
      <rPr>
        <sz val="10"/>
        <rFont val="Arial"/>
        <family val="2"/>
      </rPr>
      <t xml:space="preserve">
Matthias Carl, Telefon (05231) 76 01-18, E-Mail: carl@detmold.ihk.de
                                                                                                                                                                     </t>
    </r>
  </si>
  <si>
    <r>
      <rPr>
        <b/>
        <sz val="16"/>
        <rFont val="Arial"/>
        <family val="2"/>
      </rPr>
      <t xml:space="preserve">Steuerjahr 2014 </t>
    </r>
    <r>
      <rPr>
        <sz val="16"/>
        <rFont val="Arial"/>
        <family val="2"/>
      </rPr>
      <t xml:space="preserve">         </t>
    </r>
    <r>
      <rPr>
        <b/>
        <sz val="12"/>
        <rFont val="Arial"/>
        <family val="2"/>
      </rPr>
      <t xml:space="preserve">Hinweis: </t>
    </r>
    <r>
      <rPr>
        <sz val="12"/>
        <rFont val="Arial"/>
        <family val="2"/>
      </rPr>
      <t>Der "Spitzenausgleich" (§ 10 StromStG und § 55 EnergieStG) kann nur beantragt werden, wenn nachweislich mindestens mit der Einführung eines EnMS nach ISO 50001, eines UMS nach 
                                                                        EMAS-Verordnung oder in kleinen und mittleren Unternehmen mit der Einführung eines alternativen Systems begonnen worden ist. 
                                                                        (Vorgaben siehe § 5 SpaEfV i.V.m Anlage 2: Erfassung / Analyse der Energieträger und Energie verbrauchenden Anlagen und Geräte)</t>
    </r>
  </si>
  <si>
    <t>nachrichtlich: Energie- und Stromsteuer ("Ökosteuer") vor Entlastung</t>
  </si>
  <si>
    <r>
      <rPr>
        <b/>
        <sz val="16"/>
        <rFont val="Arial"/>
        <family val="2"/>
      </rPr>
      <t xml:space="preserve">Steuerjahr 2015 </t>
    </r>
    <r>
      <rPr>
        <sz val="16"/>
        <rFont val="Arial"/>
        <family val="2"/>
      </rPr>
      <t xml:space="preserve">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</si>
  <si>
    <t>Allgemeiner Rentenversicherungssatz (aRVS) 2015 / Anrechenbarer aRVS</t>
  </si>
  <si>
    <t>voller knappschaftlicher Rentenversicherungssatz (kRVS) 2015 / Anrechenbarer kRVS</t>
  </si>
  <si>
    <t>Teilbeitrag am kRVS 2015 / Anrechenbarer kRVS</t>
  </si>
  <si>
    <t>Allgemeiner Rentenversicherungssatz (aRVS) 2014 / Anrechenbarer aRVS</t>
  </si>
  <si>
    <t>voller knappschaftlicher Rentenversicherungssatz (kRVS) 2014 / Anrechenbarer kRVS</t>
  </si>
  <si>
    <t>Teilbeitrag am kRVS 2014 / Anrechenbarer kRVS</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</si>
  <si>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01/2015 (Version inkl. § 49 Abs. 2)</t>
    </r>
    <r>
      <rPr>
        <sz val="8"/>
        <rFont val="Arial"/>
        <family val="2"/>
      </rPr>
      <t xml:space="preserve">
Matthias Carl, Telefon (05231) 76 01-18, E-Mail: carl@detmold.ihk.de</t>
    </r>
  </si>
  <si>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1132)
§ 53b (1) EnerStG: Steuerentlastung für das Verheizen in Anlagen zur gekoppelten Erzeugung von Kraft und Wärme (Vordruck 1133)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 55 EnerStG / § 10 StromStG: Steuerentlastung von der Stromsteuer und/oder Energiesteuer in Sonderfällen (Vordruck 1450)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</si>
  <si>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1132)
§ 53b (1) EnerStG: Steuerentlastung für das Verheizen in Anlagen zur gekoppelten Erzeugung von Kraft und Wärme (Vordruck 1133)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 55 EnerStG / § 10 StromStG: Steuerentlastung von der Stromsteuer und/oder Energiesteuer in Sonderfällen (Vordruck 1450) </t>
    </r>
    <r>
      <rPr>
        <sz val="8"/>
        <rFont val="Symbol"/>
        <family val="1"/>
        <charset val="2"/>
      </rPr>
      <t>®</t>
    </r>
    <r>
      <rPr>
        <sz val="8"/>
        <rFont val="Arial"/>
        <family val="2"/>
      </rPr>
      <t xml:space="preserve"> Informationsblatt (1451)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</si>
  <si>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t>Erstattungsanspruch Stromsteuer</t>
  </si>
  <si>
    <t>Stromsteuer nach § 9b StromStG</t>
  </si>
  <si>
    <t>Sonderfälle (nach § 10 StromStG - "Spitzenausgleich")</t>
  </si>
  <si>
    <t>Strom für befreite Anwendungen (§ 9 Abs. 1 StromStG)</t>
  </si>
  <si>
    <t>Strom für bestimmte Prozesse und Verfahren (§ 9a StromStG)</t>
  </si>
  <si>
    <t>Energiesteuer nach § 54 EnergieStG</t>
  </si>
  <si>
    <t>Sonderfälle (nach § 55 EnergieStG - "Spitzenausgleich")</t>
  </si>
  <si>
    <t>Energie für bestimmte Prozesse und Verfahren (§ 51 StromStG)</t>
  </si>
  <si>
    <t>Energie für befreite Anwendungen (§ 53, 53a, 53b Abs. 1 StromStG)</t>
  </si>
  <si>
    <t>nach § 49 Abs. 2a EnergieStG</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</si>
  <si>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t>
    </r>
    <r>
      <rPr>
        <b/>
        <sz val="8"/>
        <rFont val="Arial"/>
        <family val="2"/>
      </rPr>
      <t>Stand 01/2015 (Version inkl. § 49 Abs. 2)</t>
    </r>
    <r>
      <rPr>
        <sz val="8"/>
        <rFont val="Arial"/>
        <family val="2"/>
      </rPr>
      <t xml:space="preserve">
Matthias Carl, Telefon (05231) 76 01-18, E-Mail: carl@detmold.ihk.de</t>
    </r>
  </si>
  <si>
    <t>Erstattungsanspruch Energiesteuer</t>
  </si>
  <si>
    <t>Summe</t>
  </si>
  <si>
    <t>Unterschied zwischen Steuerjahr 2014 und 2015</t>
  </si>
  <si>
    <r>
      <t xml:space="preserve">Jahresvergleich 2014 zu 2015
</t>
    </r>
    <r>
      <rPr>
        <sz val="11"/>
        <rFont val="Arial"/>
        <family val="2"/>
      </rPr>
      <t>Sie erhalten hier einen Vergleich der Rückerstattungen für 2014 bzw. 2015 (für identische Verbrauchsdaten), wenn Sie Ihre Daten in das Tabellenblätter "Ökosteuer 2015 inkl. Sockel" eingetragen haben. Ein Vergleich der Jahre 2015 und 2016 erübrigt sich, da sich die Rahmenbedingungen (Steuersätze und Rentenversicherungsbeiträge nicht geändert haben)</t>
    </r>
  </si>
  <si>
    <t>Eintragung der Unternehmensdaten in Blatt "Ökosteuer 2015"</t>
  </si>
  <si>
    <t>Erstattungsanspruch insgesamt</t>
  </si>
  <si>
    <t>nachrichtlich: Stromsteuer und "Ökosteuer"-Anteil der Energiesteuer vor Entlastung</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</si>
  <si>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01/2017 (Version inkl. § 49 Abs. 2)</t>
    </r>
    <r>
      <rPr>
        <sz val="8"/>
        <rFont val="Arial"/>
        <family val="2"/>
      </rPr>
      <t xml:space="preserve">
Matthias Carl, Telefon (05231) 76 01-18, E-Mail: carl@detmold.ihk.de</t>
    </r>
  </si>
  <si>
    <t>Geltender allgemeiner Rentenversicherungssatz (aRVS) / Anrechenbarer aRVS</t>
  </si>
  <si>
    <t>Geltender voller knappschaftlicher Rentenversicherungssatz (kRVS) / Anrechenbarer kRVS</t>
  </si>
  <si>
    <t>Geltender Teilbeitrag am kRVS / Anrechenbarer kRVS</t>
  </si>
  <si>
    <r>
      <rPr>
        <b/>
        <sz val="16"/>
        <rFont val="Arial"/>
        <family val="2"/>
      </rPr>
      <t xml:space="preserve">Steuerjahr 2016 und 2017 </t>
    </r>
    <r>
      <rPr>
        <sz val="16"/>
        <rFont val="Arial"/>
        <family val="2"/>
      </rPr>
      <t xml:space="preserve">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</si>
  <si>
    <r>
      <rPr>
        <b/>
        <sz val="16"/>
        <rFont val="Arial"/>
        <family val="2"/>
      </rPr>
      <t xml:space="preserve">Steuerjahr 2016 und 2017 </t>
    </r>
    <r>
      <rPr>
        <sz val="16"/>
        <rFont val="Arial"/>
        <family val="2"/>
      </rPr>
      <t xml:space="preserve">    Dieses Tabellenblatt nur nutzen, wenn für das gleiche Kalenderjahr bereits ein Antrag gestellt worden ist (mehrere Erstattungsanträge pro Jahr)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</si>
  <si>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1132)
§ 53b (1) EnerStG: Steuerentlastung für das Verheizen in Anlagen zur gekoppelten Erzeugung von Kraft und Wärme (Vordruck 1133)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Selbsterklärung zur staatlichen Beihilfe (Vordruck 1139); Erläuterungen im Merkblatt „Staatliche Beihilfen“ (Vordruck 1139a) 
§ 55 EnerStG / § 10 StromStG: Steuerentlastung von der Stromsteuer und/oder Energiesteuer in Sonderfällen (Vordruck 1450)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</si>
  <si>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r>
      <rPr>
        <b/>
        <sz val="16"/>
        <rFont val="Arial"/>
        <family val="2"/>
      </rPr>
      <t xml:space="preserve">Steuerjahr 2018 </t>
    </r>
    <r>
      <rPr>
        <sz val="16"/>
        <rFont val="Arial"/>
        <family val="2"/>
      </rPr>
      <t xml:space="preserve">    Dieses Tabellenblatt nur nutzen, wenn für das gleiche Kalenderjahr bereits ein Antrag gestellt worden ist (mehrere Erstattungsanträge pro Jahr)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</si>
  <si>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01/2018 (Version inkl. § 49 Abs. 2)</t>
    </r>
    <r>
      <rPr>
        <sz val="8"/>
        <rFont val="Arial"/>
        <family val="2"/>
      </rPr>
      <t xml:space="preserve">
Matthias Carl, Telefon (05231) 76 01-18, E-Mail: carl@detmold.ihk.de</t>
    </r>
  </si>
  <si>
    <t>davon voll erstattungsfähig (nach § 53a (6) EnergieStG)</t>
  </si>
  <si>
    <t>davon voll erstattungsfähig (nach § 53a (2) EnergieStG)</t>
  </si>
  <si>
    <t>Energiesteuer "Schweres" Heizöl für KWK (§ 53 a (2) EnergieStG)</t>
  </si>
  <si>
    <t>Energiesteuer Gasöl (§ 53a (6) EnergieStG)</t>
  </si>
  <si>
    <t>davon teilweise erstattungsfähig (nach § 53a (3) EnergieStG)</t>
  </si>
  <si>
    <t>davon teilweise erstattungsfähig (nach § 53a (2) EnergieStG)</t>
  </si>
  <si>
    <t>Energiesteuer "Schweres" Heizöl für KWK (§§ 51, 53 bzw. 53a (6) EnergieStG)</t>
  </si>
  <si>
    <t>davon teilweise erstattungsfähig (nach § 53a (2, 5) EnergieStG)</t>
  </si>
  <si>
    <t>davon teilweise erstattungsfähig (nach § 53a (5) EnergieStG)</t>
  </si>
  <si>
    <t>Energiesteuer Gasöl  (§ 53a (2, 5) EnergieStG)</t>
  </si>
  <si>
    <r>
      <t xml:space="preserve">Menge "Schweres Heizöl" (1.000 kg)  </t>
    </r>
    <r>
      <rPr>
        <sz val="10"/>
        <rFont val="Arial"/>
        <family val="2"/>
      </rPr>
      <t>(nach § 51 bzw. 53, 53a (6) EnergieStG)</t>
    </r>
  </si>
  <si>
    <t>Energiesteuer "Schweres" Heizöl für KWK (§ 53 a (5) EnergieStG)</t>
  </si>
  <si>
    <t>Energiesteuer Erdgas (§ 53a (6) EnergieStG)</t>
  </si>
  <si>
    <t>Energiesteuer Erdgas (§ 53a (3) EnergieStG)</t>
  </si>
  <si>
    <t>Energiesteuer Erdgas (§ 53a (2, 5) EnergieStG)</t>
  </si>
  <si>
    <t>Energiesteuer Flüssiggas (§ 53a (6) EnergieStG)</t>
  </si>
  <si>
    <t>Energiesteuer Flüssiggas (§ 53a (2) EnergieStG)</t>
  </si>
  <si>
    <t>Energiesteuer Flüssiggas (§ 53a (5) EnergieStG)</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</si>
  <si>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t>
    </r>
    <r>
      <rPr>
        <b/>
        <sz val="8"/>
        <rFont val="Arial"/>
        <family val="2"/>
      </rPr>
      <t>Stand 01/2018 (Version inkl. § 49 Abs. 2)</t>
    </r>
    <r>
      <rPr>
        <sz val="8"/>
        <rFont val="Arial"/>
        <family val="2"/>
      </rPr>
      <t xml:space="preserve">
Matthias Carl, Telefon (05231) 76 01-18, E-Mail: carl@detmold.ihk.de</t>
    </r>
  </si>
  <si>
    <t>Energie für bestimmte Prozesse und Verfahren (§ 51 EnergieStG)</t>
  </si>
  <si>
    <t>Energie für befreite Anwendungen (§ 53, 53a EnergieStG)</t>
  </si>
  <si>
    <r>
      <t xml:space="preserve">Jahresvergleich 2017 zu 2018
</t>
    </r>
    <r>
      <rPr>
        <sz val="11"/>
        <rFont val="Arial"/>
        <family val="2"/>
      </rPr>
      <t>Sie erhalten hier einen Vergleich der Rückerstattungen für 2017 bzw. 2018 (für identische Verbrauchsdaten), wenn Sie in eines der Tabellenblätter "inkl. Sockel" ihre Daten eingetragen haben.</t>
    </r>
  </si>
  <si>
    <t>bei Eintragung der Unternehmensdaten in Blatt "Ökosteuer 2017"</t>
  </si>
  <si>
    <t>bei Eintragung der Unternehmensdaten in Blatt "Ökosteuer 2018"</t>
  </si>
  <si>
    <t>Unterschied zwischen Steuerjahr 2017 und 2018</t>
  </si>
  <si>
    <r>
      <rPr>
        <b/>
        <sz val="16"/>
        <rFont val="Arial"/>
        <family val="2"/>
      </rPr>
      <t xml:space="preserve">Steuerjahr 2018                  </t>
    </r>
    <r>
      <rPr>
        <sz val="16"/>
        <rFont val="Arial"/>
        <family val="2"/>
      </rPr>
      <t xml:space="preserve">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</si>
</sst>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46" x14ac:knownFonts="1">
    <font>
      <sz val="10"/>
      <name val="Arial"/>
    </font>
    <font>
      <b/>
      <sz val="10"/>
      <name val="Arial"/>
      <family val="2"/>
    </font>
    <font>
      <b/>
      <i/>
      <sz val="10"/>
      <name val="Arial"/>
      <family val="2"/>
    </font>
    <font>
      <sz val="10"/>
      <name val="Arial"/>
      <family val="2"/>
    </font>
    <font>
      <b/>
      <sz val="10"/>
      <name val="Arial"/>
      <family val="2"/>
    </font>
    <font>
      <b/>
      <sz val="10"/>
      <color indexed="8"/>
      <name val="Arial"/>
      <family val="2"/>
    </font>
    <font>
      <b/>
      <sz val="14"/>
      <name val="Arial"/>
      <family val="2"/>
    </font>
    <font>
      <b/>
      <sz val="13"/>
      <name val="Arial"/>
      <family val="2"/>
    </font>
    <font>
      <sz val="10"/>
      <name val="Arial"/>
      <family val="2"/>
    </font>
    <font>
      <sz val="8.5"/>
      <name val="Arial"/>
      <family val="2"/>
    </font>
    <font>
      <sz val="18"/>
      <name val="Arial"/>
      <family val="2"/>
    </font>
    <font>
      <sz val="7"/>
      <name val="Arial"/>
      <family val="2"/>
    </font>
    <font>
      <sz val="14"/>
      <name val="Arial"/>
      <family val="2"/>
    </font>
    <font>
      <i/>
      <sz val="10"/>
      <name val="Arial"/>
      <family val="2"/>
    </font>
    <font>
      <sz val="10"/>
      <color indexed="23"/>
      <name val="Arial"/>
      <family val="2"/>
    </font>
    <font>
      <b/>
      <i/>
      <sz val="10"/>
      <name val="Arial"/>
      <family val="2"/>
    </font>
    <font>
      <b/>
      <sz val="12"/>
      <name val="Arial"/>
      <family val="2"/>
    </font>
    <font>
      <u/>
      <sz val="10"/>
      <color indexed="12"/>
      <name val="Arial"/>
      <family val="2"/>
    </font>
    <font>
      <sz val="8"/>
      <color indexed="81"/>
      <name val="Tahoma"/>
      <family val="2"/>
    </font>
    <font>
      <b/>
      <sz val="8"/>
      <color indexed="81"/>
      <name val="Tahoma"/>
      <family val="2"/>
    </font>
    <font>
      <b/>
      <sz val="7"/>
      <name val="Arial"/>
      <family val="2"/>
    </font>
    <font>
      <sz val="8"/>
      <color indexed="81"/>
      <name val="Arial"/>
      <family val="2"/>
    </font>
    <font>
      <b/>
      <sz val="8"/>
      <color indexed="81"/>
      <name val="Arial"/>
      <family val="2"/>
    </font>
    <font>
      <b/>
      <sz val="8"/>
      <name val="Arial"/>
      <family val="2"/>
    </font>
    <font>
      <sz val="8"/>
      <name val="Arial"/>
      <family val="2"/>
    </font>
    <font>
      <b/>
      <sz val="14"/>
      <name val="Arial"/>
      <family val="2"/>
    </font>
    <font>
      <sz val="14"/>
      <name val="Arial"/>
      <family val="2"/>
    </font>
    <font>
      <b/>
      <sz val="12"/>
      <name val="Arial"/>
      <family val="2"/>
    </font>
    <font>
      <sz val="12"/>
      <name val="Arial"/>
      <family val="2"/>
    </font>
    <font>
      <u/>
      <sz val="12"/>
      <name val="Arial"/>
      <family val="2"/>
    </font>
    <font>
      <sz val="12"/>
      <name val="Arial"/>
      <family val="2"/>
    </font>
    <font>
      <sz val="16"/>
      <name val="Arial"/>
      <family val="2"/>
    </font>
    <font>
      <b/>
      <sz val="16"/>
      <name val="Arial"/>
      <family val="2"/>
    </font>
    <font>
      <b/>
      <sz val="13"/>
      <color indexed="9"/>
      <name val="Arial"/>
      <family val="2"/>
    </font>
    <font>
      <b/>
      <u/>
      <sz val="10"/>
      <name val="Arial"/>
      <family val="2"/>
    </font>
    <font>
      <b/>
      <sz val="8.5"/>
      <name val="Arial"/>
      <family val="2"/>
    </font>
    <font>
      <b/>
      <sz val="9"/>
      <name val="Arial"/>
      <family val="2"/>
    </font>
    <font>
      <sz val="9"/>
      <name val="Arial"/>
      <family val="2"/>
    </font>
    <font>
      <sz val="8"/>
      <name val="Symbol"/>
      <family val="1"/>
      <charset val="2"/>
    </font>
    <font>
      <sz val="11"/>
      <name val="Arial"/>
      <family val="2"/>
    </font>
    <font>
      <b/>
      <sz val="11"/>
      <name val="Arial"/>
      <family val="2"/>
    </font>
    <font>
      <sz val="10"/>
      <color theme="0"/>
      <name val="Arial"/>
      <family val="2"/>
    </font>
    <font>
      <sz val="10"/>
      <color theme="9" tint="0.59999389629810485"/>
      <name val="Arial"/>
      <family val="2"/>
    </font>
    <font>
      <b/>
      <sz val="13"/>
      <color theme="0"/>
      <name val="Arial"/>
      <family val="2"/>
    </font>
    <font>
      <b/>
      <sz val="10"/>
      <color theme="0"/>
      <name val="Arial"/>
      <family val="2"/>
    </font>
    <font>
      <sz val="10"/>
      <color rgb="FFFF0000"/>
      <name val="Arial"/>
      <family val="2"/>
    </font>
  </fonts>
  <fills count="1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rgb="FFD4DBE2"/>
        <bgColor indexed="64"/>
      </patternFill>
    </fill>
    <fill>
      <patternFill patternType="solid">
        <fgColor rgb="FFDDEEFF"/>
        <bgColor indexed="64"/>
      </patternFill>
    </fill>
    <fill>
      <patternFill patternType="solid">
        <fgColor rgb="FFBAC5D0"/>
        <bgColor indexed="64"/>
      </patternFill>
    </fill>
    <fill>
      <patternFill patternType="solid">
        <fgColor rgb="FFAFC6DF"/>
        <bgColor indexed="64"/>
      </patternFill>
    </fill>
    <fill>
      <patternFill patternType="solid">
        <fgColor rgb="FF99A9B9"/>
        <bgColor indexed="64"/>
      </patternFill>
    </fill>
    <fill>
      <patternFill patternType="solid">
        <fgColor rgb="FF81A5D1"/>
        <bgColor indexed="64"/>
      </patternFill>
    </fill>
    <fill>
      <patternFill patternType="solid">
        <fgColor theme="9" tint="0.59999389629810485"/>
        <bgColor indexed="64"/>
      </patternFill>
    </fill>
    <fill>
      <patternFill patternType="solid">
        <fgColor rgb="FFF79B4F"/>
        <bgColor indexed="64"/>
      </patternFill>
    </fill>
    <fill>
      <patternFill patternType="solid">
        <fgColor rgb="FFFFC000"/>
        <bgColor indexed="64"/>
      </patternFill>
    </fill>
    <fill>
      <patternFill patternType="solid">
        <fgColor rgb="FFB3C9E3"/>
        <bgColor indexed="64"/>
      </patternFill>
    </fill>
    <fill>
      <patternFill patternType="solid">
        <fgColor theme="0" tint="-0.249977111117893"/>
        <bgColor indexed="64"/>
      </patternFill>
    </fill>
    <fill>
      <patternFill patternType="solid">
        <fgColor theme="0" tint="-4.9989318521683403E-2"/>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1">
    <xf numFmtId="0" fontId="0" fillId="0" borderId="0" xfId="0"/>
    <xf numFmtId="165" fontId="13" fillId="0" borderId="1" xfId="0" applyNumberFormat="1" applyFont="1" applyBorder="1" applyProtection="1">
      <protection locked="0"/>
    </xf>
    <xf numFmtId="165" fontId="15" fillId="0" borderId="1" xfId="0" applyNumberFormat="1" applyFont="1" applyBorder="1" applyProtection="1">
      <protection locked="0"/>
    </xf>
    <xf numFmtId="4" fontId="15" fillId="0" borderId="1" xfId="0" applyNumberFormat="1" applyFont="1" applyBorder="1" applyProtection="1">
      <protection locked="0"/>
    </xf>
    <xf numFmtId="4" fontId="15" fillId="0" borderId="2" xfId="0" applyNumberFormat="1" applyFont="1" applyBorder="1" applyProtection="1">
      <protection locked="0"/>
    </xf>
    <xf numFmtId="165" fontId="13" fillId="2" borderId="0" xfId="0" applyNumberFormat="1" applyFont="1" applyFill="1" applyBorder="1" applyProtection="1"/>
    <xf numFmtId="0" fontId="0" fillId="3" borderId="0" xfId="0" applyFill="1"/>
    <xf numFmtId="165" fontId="13" fillId="3" borderId="0" xfId="0" applyNumberFormat="1" applyFont="1" applyFill="1" applyBorder="1" applyProtection="1"/>
    <xf numFmtId="0" fontId="0" fillId="4" borderId="0" xfId="0" applyFill="1"/>
    <xf numFmtId="165" fontId="13" fillId="4" borderId="0" xfId="0" applyNumberFormat="1" applyFont="1" applyFill="1" applyBorder="1" applyProtection="1"/>
    <xf numFmtId="0" fontId="0" fillId="4" borderId="0" xfId="0" applyFill="1" applyBorder="1" applyProtection="1"/>
    <xf numFmtId="0" fontId="11" fillId="5" borderId="3" xfId="0" applyFont="1" applyFill="1" applyBorder="1" applyAlignment="1" applyProtection="1">
      <alignment wrapText="1"/>
    </xf>
    <xf numFmtId="0" fontId="11" fillId="5" borderId="4" xfId="0" applyFont="1" applyFill="1" applyBorder="1" applyAlignment="1" applyProtection="1">
      <alignment wrapText="1"/>
    </xf>
    <xf numFmtId="0" fontId="12" fillId="5" borderId="5" xfId="0" applyFont="1" applyFill="1" applyBorder="1" applyProtection="1"/>
    <xf numFmtId="0" fontId="1" fillId="5" borderId="6" xfId="0" applyFont="1" applyFill="1" applyBorder="1" applyAlignment="1" applyProtection="1">
      <alignment horizontal="center" wrapText="1"/>
    </xf>
    <xf numFmtId="0" fontId="1" fillId="5" borderId="7" xfId="0" applyFont="1" applyFill="1" applyBorder="1" applyAlignment="1" applyProtection="1">
      <alignment horizontal="center" wrapText="1"/>
    </xf>
    <xf numFmtId="0" fontId="0" fillId="5" borderId="8" xfId="0" applyFill="1" applyBorder="1" applyAlignment="1">
      <alignment wrapText="1"/>
    </xf>
    <xf numFmtId="0" fontId="0" fillId="5" borderId="9" xfId="0" applyFill="1" applyBorder="1" applyAlignment="1">
      <alignment wrapText="1"/>
    </xf>
    <xf numFmtId="0" fontId="4" fillId="6" borderId="10" xfId="0" applyFont="1" applyFill="1" applyBorder="1" applyProtection="1"/>
    <xf numFmtId="0" fontId="8" fillId="6" borderId="11" xfId="0" applyFont="1" applyFill="1" applyBorder="1" applyProtection="1"/>
    <xf numFmtId="165" fontId="4" fillId="6" borderId="12" xfId="0" applyNumberFormat="1" applyFont="1" applyFill="1" applyBorder="1" applyProtection="1"/>
    <xf numFmtId="0" fontId="0" fillId="6" borderId="13" xfId="0" applyFill="1" applyBorder="1" applyProtection="1"/>
    <xf numFmtId="0" fontId="0" fillId="6" borderId="14" xfId="0" applyFill="1" applyBorder="1" applyProtection="1"/>
    <xf numFmtId="164" fontId="4" fillId="6" borderId="5" xfId="0" applyNumberFormat="1" applyFont="1" applyFill="1" applyBorder="1" applyProtection="1"/>
    <xf numFmtId="4" fontId="4" fillId="6" borderId="15" xfId="0" applyNumberFormat="1" applyFont="1" applyFill="1" applyBorder="1" applyProtection="1"/>
    <xf numFmtId="4" fontId="0" fillId="6" borderId="16" xfId="0" applyNumberFormat="1" applyFill="1" applyBorder="1" applyProtection="1"/>
    <xf numFmtId="4" fontId="0" fillId="6" borderId="17" xfId="0" applyNumberFormat="1" applyFill="1" applyBorder="1" applyProtection="1"/>
    <xf numFmtId="0" fontId="4" fillId="6" borderId="11" xfId="0" applyFont="1" applyFill="1" applyBorder="1" applyAlignment="1" applyProtection="1"/>
    <xf numFmtId="0" fontId="0" fillId="6" borderId="18" xfId="0" applyFill="1" applyBorder="1" applyAlignment="1" applyProtection="1"/>
    <xf numFmtId="4" fontId="4" fillId="6" borderId="17" xfId="0" applyNumberFormat="1" applyFont="1" applyFill="1" applyBorder="1" applyProtection="1"/>
    <xf numFmtId="0" fontId="4" fillId="6" borderId="19" xfId="0" applyFont="1" applyFill="1" applyBorder="1" applyAlignment="1" applyProtection="1">
      <alignment vertical="center"/>
    </xf>
    <xf numFmtId="0" fontId="0" fillId="6" borderId="20" xfId="0" applyFill="1" applyBorder="1" applyAlignment="1" applyProtection="1"/>
    <xf numFmtId="4" fontId="4" fillId="6" borderId="21" xfId="0" applyNumberFormat="1" applyFont="1" applyFill="1" applyBorder="1" applyProtection="1"/>
    <xf numFmtId="0" fontId="8" fillId="6" borderId="22" xfId="0" applyFont="1" applyFill="1" applyBorder="1" applyAlignment="1" applyProtection="1"/>
    <xf numFmtId="4" fontId="8" fillId="6" borderId="23" xfId="0" applyNumberFormat="1" applyFont="1" applyFill="1" applyBorder="1" applyProtection="1"/>
    <xf numFmtId="0" fontId="8" fillId="6" borderId="24" xfId="0" applyFont="1" applyFill="1" applyBorder="1" applyProtection="1"/>
    <xf numFmtId="0" fontId="8" fillId="6" borderId="25" xfId="0" applyFont="1" applyFill="1" applyBorder="1" applyProtection="1"/>
    <xf numFmtId="4" fontId="14" fillId="6" borderId="26" xfId="0" applyNumberFormat="1" applyFont="1" applyFill="1" applyBorder="1" applyProtection="1"/>
    <xf numFmtId="4" fontId="4" fillId="6" borderId="26" xfId="0" applyNumberFormat="1" applyFont="1" applyFill="1" applyBorder="1" applyProtection="1"/>
    <xf numFmtId="0" fontId="0" fillId="6" borderId="27" xfId="0" applyFill="1" applyBorder="1" applyAlignment="1" applyProtection="1"/>
    <xf numFmtId="4" fontId="0" fillId="6" borderId="28" xfId="0" applyNumberFormat="1" applyFill="1" applyBorder="1" applyProtection="1"/>
    <xf numFmtId="0" fontId="7" fillId="5" borderId="29" xfId="0" applyFont="1" applyFill="1" applyBorder="1" applyProtection="1"/>
    <xf numFmtId="0" fontId="0" fillId="5" borderId="0" xfId="0" applyFill="1" applyBorder="1" applyProtection="1"/>
    <xf numFmtId="0" fontId="0" fillId="5" borderId="14" xfId="0" applyFill="1" applyBorder="1" applyProtection="1"/>
    <xf numFmtId="0" fontId="5" fillId="5" borderId="30" xfId="0" applyFont="1" applyFill="1" applyBorder="1" applyAlignment="1" applyProtection="1">
      <alignment horizontal="left"/>
    </xf>
    <xf numFmtId="0" fontId="5" fillId="5" borderId="31" xfId="0" applyFont="1" applyFill="1" applyBorder="1" applyAlignment="1" applyProtection="1">
      <alignment horizontal="center"/>
    </xf>
    <xf numFmtId="0" fontId="5" fillId="5" borderId="23" xfId="0" applyFont="1" applyFill="1" applyBorder="1" applyAlignment="1" applyProtection="1">
      <alignment horizontal="center"/>
    </xf>
    <xf numFmtId="0" fontId="26" fillId="7" borderId="3" xfId="0" applyFont="1" applyFill="1" applyBorder="1" applyAlignment="1" applyProtection="1">
      <alignment vertical="top" wrapText="1"/>
    </xf>
    <xf numFmtId="0" fontId="26" fillId="7" borderId="4" xfId="0" applyFont="1" applyFill="1" applyBorder="1" applyAlignment="1" applyProtection="1">
      <alignment vertical="top" wrapText="1"/>
    </xf>
    <xf numFmtId="0" fontId="26" fillId="7" borderId="5" xfId="0" applyFont="1" applyFill="1" applyBorder="1" applyAlignment="1" applyProtection="1">
      <alignment vertical="top" wrapText="1"/>
    </xf>
    <xf numFmtId="0" fontId="27" fillId="7" borderId="22" xfId="0" applyFont="1" applyFill="1" applyBorder="1" applyAlignment="1" applyProtection="1"/>
    <xf numFmtId="0" fontId="0" fillId="7" borderId="27" xfId="0" applyFill="1" applyBorder="1" applyAlignment="1" applyProtection="1"/>
    <xf numFmtId="0" fontId="27" fillId="7" borderId="22" xfId="0" applyFont="1" applyFill="1" applyBorder="1" applyProtection="1"/>
    <xf numFmtId="0" fontId="1" fillId="7" borderId="32" xfId="0" applyFont="1" applyFill="1" applyBorder="1" applyProtection="1"/>
    <xf numFmtId="0" fontId="7" fillId="7" borderId="33" xfId="0" applyFont="1" applyFill="1" applyBorder="1" applyProtection="1"/>
    <xf numFmtId="0" fontId="7" fillId="7" borderId="34" xfId="0" applyFont="1" applyFill="1" applyBorder="1" applyProtection="1"/>
    <xf numFmtId="0" fontId="7" fillId="7" borderId="13" xfId="0" applyFont="1" applyFill="1" applyBorder="1" applyProtection="1"/>
    <xf numFmtId="0" fontId="4" fillId="8" borderId="10" xfId="0" applyFont="1" applyFill="1" applyBorder="1" applyProtection="1"/>
    <xf numFmtId="0" fontId="0" fillId="8" borderId="11" xfId="0" applyFill="1" applyBorder="1" applyProtection="1"/>
    <xf numFmtId="0" fontId="4" fillId="8" borderId="11" xfId="0" applyFont="1" applyFill="1" applyBorder="1" applyProtection="1"/>
    <xf numFmtId="0" fontId="8" fillId="8" borderId="0" xfId="0" applyFont="1" applyFill="1" applyBorder="1" applyProtection="1"/>
    <xf numFmtId="4" fontId="4" fillId="8" borderId="15" xfId="0" applyNumberFormat="1" applyFont="1" applyFill="1" applyBorder="1" applyProtection="1"/>
    <xf numFmtId="4" fontId="2" fillId="8" borderId="35" xfId="0" applyNumberFormat="1" applyFont="1" applyFill="1" applyBorder="1" applyProtection="1"/>
    <xf numFmtId="166" fontId="8" fillId="8" borderId="17" xfId="0" applyNumberFormat="1" applyFont="1" applyFill="1" applyBorder="1" applyProtection="1"/>
    <xf numFmtId="4" fontId="8" fillId="8" borderId="14" xfId="0" applyNumberFormat="1" applyFont="1" applyFill="1" applyBorder="1" applyProtection="1"/>
    <xf numFmtId="0" fontId="8" fillId="8" borderId="25" xfId="0" applyFont="1" applyFill="1" applyBorder="1" applyProtection="1"/>
    <xf numFmtId="0" fontId="41" fillId="7" borderId="3" xfId="0" applyFont="1" applyFill="1" applyBorder="1" applyProtection="1"/>
    <xf numFmtId="0" fontId="41" fillId="7" borderId="4" xfId="0" applyFont="1" applyFill="1" applyBorder="1" applyProtection="1"/>
    <xf numFmtId="0" fontId="41" fillId="7" borderId="5" xfId="0" applyFont="1" applyFill="1" applyBorder="1" applyProtection="1"/>
    <xf numFmtId="0" fontId="28" fillId="9" borderId="32" xfId="0" applyFont="1" applyFill="1" applyBorder="1" applyProtection="1"/>
    <xf numFmtId="2" fontId="4" fillId="10" borderId="1" xfId="0" applyNumberFormat="1" applyFont="1" applyFill="1" applyBorder="1" applyProtection="1"/>
    <xf numFmtId="0" fontId="1" fillId="10" borderId="28" xfId="0" applyFont="1" applyFill="1" applyBorder="1" applyAlignment="1" applyProtection="1">
      <alignment horizontal="center" wrapText="1"/>
    </xf>
    <xf numFmtId="0" fontId="0" fillId="10" borderId="36" xfId="0" applyFill="1" applyBorder="1" applyAlignment="1">
      <alignment wrapText="1"/>
    </xf>
    <xf numFmtId="4" fontId="16" fillId="10" borderId="1" xfId="0" applyNumberFormat="1" applyFont="1" applyFill="1" applyBorder="1" applyProtection="1"/>
    <xf numFmtId="0" fontId="4" fillId="6" borderId="22" xfId="0" applyFont="1" applyFill="1" applyBorder="1" applyAlignment="1" applyProtection="1"/>
    <xf numFmtId="0" fontId="4" fillId="6" borderId="32" xfId="0" applyFont="1" applyFill="1" applyBorder="1" applyAlignment="1" applyProtection="1"/>
    <xf numFmtId="0" fontId="8" fillId="8" borderId="11" xfId="0" applyFont="1" applyFill="1" applyBorder="1" applyAlignment="1" applyProtection="1"/>
    <xf numFmtId="0" fontId="8" fillId="8" borderId="18" xfId="0" applyFont="1" applyFill="1" applyBorder="1" applyAlignment="1" applyProtection="1"/>
    <xf numFmtId="4" fontId="8" fillId="8" borderId="17" xfId="0" applyNumberFormat="1" applyFont="1" applyFill="1" applyBorder="1" applyProtection="1"/>
    <xf numFmtId="0" fontId="8" fillId="6" borderId="37" xfId="0" applyFont="1" applyFill="1" applyBorder="1" applyProtection="1"/>
    <xf numFmtId="0" fontId="8" fillId="6" borderId="38" xfId="0" applyFont="1" applyFill="1" applyBorder="1" applyProtection="1"/>
    <xf numFmtId="0" fontId="8" fillId="6" borderId="19" xfId="0" applyFont="1" applyFill="1" applyBorder="1" applyProtection="1"/>
    <xf numFmtId="0" fontId="8" fillId="6" borderId="39" xfId="0" applyFont="1" applyFill="1" applyBorder="1" applyProtection="1"/>
    <xf numFmtId="0" fontId="16" fillId="7" borderId="22" xfId="0" applyFont="1" applyFill="1" applyBorder="1" applyAlignment="1" applyProtection="1"/>
    <xf numFmtId="0" fontId="8" fillId="3" borderId="0" xfId="0" applyFont="1" applyFill="1"/>
    <xf numFmtId="0" fontId="16" fillId="9" borderId="22" xfId="0" applyFont="1" applyFill="1" applyBorder="1" applyProtection="1"/>
    <xf numFmtId="0" fontId="8" fillId="6" borderId="40" xfId="0" applyFont="1" applyFill="1" applyBorder="1" applyAlignment="1" applyProtection="1"/>
    <xf numFmtId="0" fontId="41" fillId="0" borderId="41" xfId="0" applyFont="1" applyBorder="1" applyProtection="1"/>
    <xf numFmtId="0" fontId="8" fillId="8" borderId="39" xfId="0" applyFont="1" applyFill="1" applyBorder="1" applyProtection="1"/>
    <xf numFmtId="0" fontId="41" fillId="0" borderId="0" xfId="0" applyFont="1" applyBorder="1" applyProtection="1"/>
    <xf numFmtId="4" fontId="30" fillId="10" borderId="28" xfId="0" applyNumberFormat="1" applyFont="1" applyFill="1" applyBorder="1" applyProtection="1"/>
    <xf numFmtId="4" fontId="0" fillId="6" borderId="21" xfId="0" applyNumberFormat="1" applyFill="1" applyBorder="1" applyProtection="1"/>
    <xf numFmtId="0" fontId="16" fillId="7" borderId="22" xfId="0" applyFont="1" applyFill="1" applyBorder="1" applyProtection="1"/>
    <xf numFmtId="166" fontId="8" fillId="8" borderId="42" xfId="0" applyNumberFormat="1" applyFont="1" applyFill="1" applyBorder="1" applyProtection="1"/>
    <xf numFmtId="0" fontId="6" fillId="5" borderId="29" xfId="0" applyFont="1" applyFill="1" applyBorder="1" applyProtection="1"/>
    <xf numFmtId="0" fontId="6" fillId="5" borderId="0" xfId="0" applyFont="1" applyFill="1" applyBorder="1" applyProtection="1"/>
    <xf numFmtId="0" fontId="6" fillId="5" borderId="14" xfId="0" applyFont="1" applyFill="1" applyBorder="1" applyProtection="1"/>
    <xf numFmtId="0" fontId="25" fillId="7" borderId="29" xfId="0" applyFont="1" applyFill="1" applyBorder="1" applyAlignment="1" applyProtection="1">
      <alignment vertical="top" wrapText="1"/>
    </xf>
    <xf numFmtId="0" fontId="26" fillId="7" borderId="0" xfId="0" applyFont="1" applyFill="1" applyBorder="1" applyAlignment="1" applyProtection="1">
      <alignment vertical="top" wrapText="1"/>
    </xf>
    <xf numFmtId="0" fontId="26" fillId="7" borderId="14" xfId="0" applyFont="1" applyFill="1" applyBorder="1" applyAlignment="1" applyProtection="1">
      <alignment vertical="top" wrapText="1"/>
    </xf>
    <xf numFmtId="0" fontId="10" fillId="11" borderId="22" xfId="0" applyFont="1" applyFill="1" applyBorder="1" applyAlignment="1" applyProtection="1">
      <alignment vertical="center"/>
    </xf>
    <xf numFmtId="0" fontId="0" fillId="12" borderId="32" xfId="0" applyFill="1" applyBorder="1" applyAlignment="1"/>
    <xf numFmtId="0" fontId="0" fillId="12" borderId="27" xfId="0" applyFill="1" applyBorder="1" applyAlignment="1">
      <alignment vertical="center"/>
    </xf>
    <xf numFmtId="0" fontId="0" fillId="11" borderId="0" xfId="0" applyFill="1" applyBorder="1" applyProtection="1"/>
    <xf numFmtId="165" fontId="13" fillId="11" borderId="0" xfId="0" applyNumberFormat="1" applyFont="1" applyFill="1" applyBorder="1" applyProtection="1"/>
    <xf numFmtId="0" fontId="41" fillId="0" borderId="43" xfId="0" applyFont="1" applyBorder="1" applyProtection="1"/>
    <xf numFmtId="0" fontId="8" fillId="0" borderId="43" xfId="0" applyFont="1" applyBorder="1" applyProtection="1"/>
    <xf numFmtId="0" fontId="0" fillId="11" borderId="33" xfId="0" applyFill="1" applyBorder="1"/>
    <xf numFmtId="0" fontId="0" fillId="11" borderId="13" xfId="0" applyFill="1" applyBorder="1" applyAlignment="1">
      <alignment vertical="center"/>
    </xf>
    <xf numFmtId="0" fontId="0" fillId="11" borderId="29" xfId="0" applyFill="1" applyBorder="1"/>
    <xf numFmtId="0" fontId="6" fillId="0" borderId="0" xfId="0" applyFont="1" applyBorder="1" applyProtection="1"/>
    <xf numFmtId="0" fontId="0" fillId="11" borderId="14" xfId="0" applyFill="1" applyBorder="1" applyProtection="1"/>
    <xf numFmtId="0" fontId="0" fillId="0" borderId="0" xfId="0" applyBorder="1" applyProtection="1"/>
    <xf numFmtId="0" fontId="1" fillId="0" borderId="0" xfId="0" applyFont="1" applyBorder="1" applyProtection="1"/>
    <xf numFmtId="0" fontId="8" fillId="11" borderId="14" xfId="0" applyFont="1" applyFill="1" applyBorder="1" applyProtection="1"/>
    <xf numFmtId="165" fontId="13" fillId="11" borderId="29" xfId="0" applyNumberFormat="1" applyFont="1" applyFill="1" applyBorder="1" applyProtection="1"/>
    <xf numFmtId="165" fontId="13" fillId="11" borderId="14" xfId="0" applyNumberFormat="1" applyFont="1" applyFill="1" applyBorder="1" applyProtection="1"/>
    <xf numFmtId="0" fontId="0" fillId="3" borderId="0" xfId="0" applyFill="1" applyBorder="1"/>
    <xf numFmtId="0" fontId="0" fillId="11" borderId="0" xfId="0" applyFill="1" applyBorder="1"/>
    <xf numFmtId="165" fontId="13" fillId="11" borderId="3" xfId="0" applyNumberFormat="1" applyFont="1" applyFill="1" applyBorder="1" applyProtection="1"/>
    <xf numFmtId="0" fontId="0" fillId="11" borderId="4" xfId="0" applyFill="1" applyBorder="1"/>
    <xf numFmtId="165" fontId="13" fillId="11" borderId="4" xfId="0" applyNumberFormat="1" applyFont="1" applyFill="1" applyBorder="1" applyProtection="1"/>
    <xf numFmtId="165" fontId="13" fillId="11" borderId="5" xfId="0" applyNumberFormat="1" applyFont="1" applyFill="1" applyBorder="1" applyProtection="1"/>
    <xf numFmtId="0" fontId="0" fillId="4" borderId="22" xfId="0" applyFill="1" applyBorder="1"/>
    <xf numFmtId="0" fontId="31" fillId="4" borderId="32" xfId="0" applyFont="1" applyFill="1" applyBorder="1" applyAlignment="1" applyProtection="1"/>
    <xf numFmtId="0" fontId="0" fillId="4" borderId="32" xfId="0" applyFill="1" applyBorder="1" applyAlignment="1"/>
    <xf numFmtId="0" fontId="8" fillId="11" borderId="32" xfId="0" applyFont="1" applyFill="1" applyBorder="1" applyAlignment="1">
      <alignment vertical="center" wrapText="1"/>
    </xf>
    <xf numFmtId="0" fontId="0" fillId="11" borderId="32" xfId="0" applyFill="1" applyBorder="1" applyAlignment="1">
      <alignment wrapText="1"/>
    </xf>
    <xf numFmtId="0" fontId="0" fillId="11" borderId="27" xfId="0" applyFill="1" applyBorder="1" applyAlignment="1">
      <alignment wrapText="1"/>
    </xf>
    <xf numFmtId="0" fontId="8" fillId="12" borderId="22" xfId="0" applyFont="1" applyFill="1" applyBorder="1" applyAlignment="1">
      <alignment vertical="center" wrapText="1"/>
    </xf>
    <xf numFmtId="0" fontId="0" fillId="11" borderId="34" xfId="0" applyFill="1" applyBorder="1" applyAlignment="1">
      <alignment wrapText="1"/>
    </xf>
    <xf numFmtId="0" fontId="42" fillId="11" borderId="14" xfId="0" applyFont="1" applyFill="1" applyBorder="1" applyProtection="1"/>
    <xf numFmtId="165" fontId="13" fillId="4" borderId="4" xfId="0" applyNumberFormat="1" applyFont="1" applyFill="1" applyBorder="1" applyProtection="1"/>
    <xf numFmtId="0" fontId="41" fillId="0" borderId="44" xfId="0" applyFont="1" applyBorder="1" applyProtection="1"/>
    <xf numFmtId="0" fontId="0" fillId="4" borderId="27" xfId="0" applyFill="1" applyBorder="1" applyProtection="1"/>
    <xf numFmtId="4" fontId="0" fillId="6" borderId="45" xfId="0" applyNumberFormat="1" applyFill="1" applyBorder="1" applyProtection="1"/>
    <xf numFmtId="0" fontId="4" fillId="8" borderId="40" xfId="0" applyFont="1" applyFill="1" applyBorder="1" applyProtection="1"/>
    <xf numFmtId="0" fontId="4" fillId="8" borderId="9" xfId="0" applyFont="1" applyFill="1" applyBorder="1" applyProtection="1"/>
    <xf numFmtId="0" fontId="4" fillId="6" borderId="1" xfId="0" applyFont="1" applyFill="1" applyBorder="1" applyProtection="1"/>
    <xf numFmtId="0" fontId="9" fillId="6" borderId="46" xfId="0" applyFont="1" applyFill="1" applyBorder="1" applyProtection="1"/>
    <xf numFmtId="0" fontId="9" fillId="6" borderId="47" xfId="0" applyFont="1" applyFill="1" applyBorder="1" applyProtection="1"/>
    <xf numFmtId="0" fontId="9" fillId="6" borderId="48" xfId="0" applyFont="1" applyFill="1" applyBorder="1" applyProtection="1"/>
    <xf numFmtId="0" fontId="9" fillId="6" borderId="36" xfId="0" applyFont="1" applyFill="1" applyBorder="1" applyProtection="1"/>
    <xf numFmtId="0" fontId="9" fillId="6" borderId="49" xfId="0" applyFont="1" applyFill="1" applyBorder="1" applyProtection="1"/>
    <xf numFmtId="0" fontId="30" fillId="9" borderId="27" xfId="0" applyFont="1" applyFill="1" applyBorder="1" applyAlignment="1" applyProtection="1"/>
    <xf numFmtId="0" fontId="7" fillId="7" borderId="22" xfId="0" applyFont="1" applyFill="1" applyBorder="1" applyProtection="1"/>
    <xf numFmtId="0" fontId="43" fillId="7" borderId="32" xfId="0" applyFont="1" applyFill="1" applyBorder="1" applyProtection="1"/>
    <xf numFmtId="0" fontId="41" fillId="7" borderId="27" xfId="0" applyFont="1" applyFill="1" applyBorder="1" applyProtection="1"/>
    <xf numFmtId="165" fontId="15" fillId="0" borderId="22" xfId="0" applyNumberFormat="1" applyFont="1" applyBorder="1" applyProtection="1">
      <protection locked="0"/>
    </xf>
    <xf numFmtId="165" fontId="13" fillId="0" borderId="50" xfId="0" applyNumberFormat="1" applyFont="1" applyBorder="1" applyProtection="1">
      <protection locked="0"/>
    </xf>
    <xf numFmtId="165" fontId="13" fillId="0" borderId="11" xfId="0" applyNumberFormat="1" applyFont="1" applyBorder="1" applyProtection="1">
      <protection locked="0"/>
    </xf>
    <xf numFmtId="165" fontId="13" fillId="0" borderId="19" xfId="0" applyNumberFormat="1" applyFont="1" applyBorder="1" applyProtection="1">
      <protection locked="0"/>
    </xf>
    <xf numFmtId="165" fontId="13" fillId="0" borderId="35" xfId="0" applyNumberFormat="1" applyFont="1" applyBorder="1" applyProtection="1">
      <protection locked="0"/>
    </xf>
    <xf numFmtId="165" fontId="13" fillId="0" borderId="51" xfId="0" applyNumberFormat="1" applyFont="1" applyBorder="1" applyProtection="1">
      <protection locked="0"/>
    </xf>
    <xf numFmtId="165" fontId="13" fillId="0" borderId="52" xfId="0" applyNumberFormat="1" applyFont="1" applyBorder="1" applyProtection="1">
      <protection locked="0"/>
    </xf>
    <xf numFmtId="165" fontId="13" fillId="0" borderId="53" xfId="0" applyNumberFormat="1" applyFont="1" applyBorder="1" applyProtection="1">
      <protection locked="0"/>
    </xf>
    <xf numFmtId="0" fontId="9" fillId="6" borderId="54" xfId="0" applyFont="1" applyFill="1" applyBorder="1" applyProtection="1"/>
    <xf numFmtId="0" fontId="0" fillId="11" borderId="14" xfId="0" applyFill="1" applyBorder="1"/>
    <xf numFmtId="0" fontId="8" fillId="4" borderId="0" xfId="0" applyFont="1" applyFill="1" applyBorder="1" applyAlignment="1">
      <alignment wrapText="1"/>
    </xf>
    <xf numFmtId="0" fontId="0" fillId="4" borderId="0" xfId="0" applyFill="1" applyBorder="1" applyAlignment="1">
      <alignment wrapText="1"/>
    </xf>
    <xf numFmtId="0" fontId="0" fillId="7" borderId="29" xfId="0" applyFill="1" applyBorder="1" applyProtection="1"/>
    <xf numFmtId="0" fontId="0" fillId="7" borderId="0" xfId="0" applyFill="1" applyBorder="1" applyProtection="1"/>
    <xf numFmtId="0" fontId="0" fillId="7" borderId="14" xfId="0" applyFill="1" applyBorder="1" applyProtection="1"/>
    <xf numFmtId="0" fontId="28" fillId="9" borderId="5" xfId="0" applyFont="1" applyFill="1" applyBorder="1" applyProtection="1"/>
    <xf numFmtId="4" fontId="16" fillId="10" borderId="2" xfId="0" applyNumberFormat="1" applyFont="1" applyFill="1" applyBorder="1" applyProtection="1"/>
    <xf numFmtId="0" fontId="4" fillId="6" borderId="6" xfId="0" applyFont="1" applyFill="1" applyBorder="1" applyProtection="1"/>
    <xf numFmtId="0" fontId="4" fillId="6" borderId="39" xfId="0" applyFont="1" applyFill="1" applyBorder="1" applyProtection="1"/>
    <xf numFmtId="0" fontId="0" fillId="6" borderId="55" xfId="0" applyFill="1" applyBorder="1" applyAlignment="1" applyProtection="1"/>
    <xf numFmtId="4" fontId="14" fillId="6" borderId="35" xfId="0" applyNumberFormat="1" applyFont="1" applyFill="1" applyBorder="1" applyProtection="1"/>
    <xf numFmtId="4" fontId="4" fillId="6" borderId="35" xfId="0" applyNumberFormat="1" applyFont="1" applyFill="1" applyBorder="1" applyProtection="1"/>
    <xf numFmtId="4" fontId="0" fillId="6" borderId="51" xfId="0" applyNumberFormat="1" applyFill="1" applyBorder="1" applyProtection="1"/>
    <xf numFmtId="0" fontId="8" fillId="6" borderId="17" xfId="0" applyFont="1" applyFill="1" applyBorder="1" applyProtection="1"/>
    <xf numFmtId="0" fontId="0" fillId="6" borderId="21" xfId="0" applyFill="1" applyBorder="1" applyAlignment="1" applyProtection="1"/>
    <xf numFmtId="0" fontId="4" fillId="6" borderId="45" xfId="0" applyFont="1" applyFill="1" applyBorder="1" applyProtection="1"/>
    <xf numFmtId="0" fontId="4" fillId="6" borderId="17" xfId="0" applyFont="1" applyFill="1" applyBorder="1" applyProtection="1"/>
    <xf numFmtId="0" fontId="16" fillId="9" borderId="3" xfId="0" applyFont="1" applyFill="1" applyBorder="1" applyProtection="1"/>
    <xf numFmtId="165" fontId="13" fillId="0" borderId="33" xfId="0" applyNumberFormat="1" applyFont="1" applyBorder="1" applyProtection="1">
      <protection locked="0"/>
    </xf>
    <xf numFmtId="0" fontId="30" fillId="9" borderId="33" xfId="0" applyFont="1" applyFill="1" applyBorder="1" applyAlignment="1" applyProtection="1"/>
    <xf numFmtId="0" fontId="30" fillId="9" borderId="13" xfId="0" applyFont="1" applyFill="1" applyBorder="1" applyAlignment="1" applyProtection="1"/>
    <xf numFmtId="0" fontId="8" fillId="6" borderId="10" xfId="0" applyFont="1" applyFill="1" applyBorder="1" applyAlignment="1" applyProtection="1"/>
    <xf numFmtId="0" fontId="8" fillId="6" borderId="56" xfId="0" applyFont="1" applyFill="1" applyBorder="1" applyAlignment="1" applyProtection="1"/>
    <xf numFmtId="0" fontId="8" fillId="6" borderId="19" xfId="0" applyFont="1" applyFill="1" applyBorder="1" applyAlignment="1" applyProtection="1"/>
    <xf numFmtId="0" fontId="8" fillId="6" borderId="20" xfId="0" applyFont="1" applyFill="1" applyBorder="1" applyAlignment="1" applyProtection="1"/>
    <xf numFmtId="0" fontId="30" fillId="9" borderId="22" xfId="0" applyFont="1" applyFill="1" applyBorder="1" applyAlignment="1" applyProtection="1"/>
    <xf numFmtId="0" fontId="0" fillId="6" borderId="28" xfId="0" applyFill="1" applyBorder="1" applyAlignment="1" applyProtection="1"/>
    <xf numFmtId="0" fontId="0" fillId="6" borderId="36" xfId="0" applyFill="1" applyBorder="1" applyAlignment="1" applyProtection="1"/>
    <xf numFmtId="0" fontId="0" fillId="6" borderId="2" xfId="0" applyFill="1" applyBorder="1" applyAlignment="1" applyProtection="1"/>
    <xf numFmtId="165" fontId="13" fillId="0" borderId="27" xfId="0" applyNumberFormat="1" applyFont="1" applyBorder="1" applyProtection="1">
      <protection locked="0"/>
    </xf>
    <xf numFmtId="165" fontId="13" fillId="0" borderId="42" xfId="0" applyNumberFormat="1" applyFont="1" applyBorder="1" applyProtection="1">
      <protection locked="0"/>
    </xf>
    <xf numFmtId="165" fontId="13" fillId="0" borderId="26" xfId="0" applyNumberFormat="1" applyFont="1" applyBorder="1" applyProtection="1">
      <protection locked="0"/>
    </xf>
    <xf numFmtId="165" fontId="15" fillId="0" borderId="27" xfId="0" applyNumberFormat="1" applyFont="1" applyBorder="1" applyProtection="1">
      <protection locked="0"/>
    </xf>
    <xf numFmtId="0" fontId="8" fillId="0" borderId="57" xfId="0" applyFont="1" applyBorder="1" applyProtection="1"/>
    <xf numFmtId="0" fontId="41" fillId="0" borderId="58" xfId="0" applyFont="1" applyBorder="1" applyProtection="1"/>
    <xf numFmtId="0" fontId="41" fillId="4" borderId="0" xfId="0" applyFont="1" applyFill="1" applyBorder="1" applyProtection="1"/>
    <xf numFmtId="0" fontId="8" fillId="4" borderId="0" xfId="0" applyFont="1" applyFill="1" applyBorder="1"/>
    <xf numFmtId="0" fontId="0" fillId="4" borderId="0" xfId="0" applyFill="1" applyBorder="1"/>
    <xf numFmtId="4" fontId="0" fillId="6" borderId="23" xfId="0" applyNumberFormat="1" applyFill="1" applyBorder="1" applyProtection="1"/>
    <xf numFmtId="0" fontId="41" fillId="4" borderId="41" xfId="0" applyFont="1" applyFill="1" applyBorder="1" applyProtection="1"/>
    <xf numFmtId="4" fontId="30" fillId="10" borderId="13" xfId="0" applyNumberFormat="1" applyFont="1" applyFill="1" applyBorder="1" applyProtection="1"/>
    <xf numFmtId="0" fontId="0" fillId="0" borderId="0" xfId="0" applyBorder="1"/>
    <xf numFmtId="0" fontId="41" fillId="4" borderId="43" xfId="0" applyFont="1" applyFill="1" applyBorder="1" applyProtection="1"/>
    <xf numFmtId="0" fontId="41" fillId="4" borderId="0" xfId="0" applyFont="1" applyFill="1"/>
    <xf numFmtId="0" fontId="8" fillId="4" borderId="0" xfId="0" applyFont="1" applyFill="1"/>
    <xf numFmtId="165" fontId="34" fillId="4" borderId="0" xfId="0" applyNumberFormat="1" applyFont="1" applyFill="1" applyBorder="1" applyProtection="1"/>
    <xf numFmtId="4" fontId="16" fillId="10" borderId="28" xfId="0" applyNumberFormat="1" applyFont="1" applyFill="1" applyBorder="1" applyProtection="1"/>
    <xf numFmtId="0" fontId="27" fillId="9" borderId="3" xfId="0" applyFont="1" applyFill="1" applyBorder="1" applyProtection="1"/>
    <xf numFmtId="0" fontId="0" fillId="6" borderId="59" xfId="0" applyFill="1" applyBorder="1" applyAlignment="1" applyProtection="1"/>
    <xf numFmtId="4" fontId="0" fillId="6" borderId="5" xfId="0" applyNumberFormat="1" applyFill="1" applyBorder="1" applyProtection="1"/>
    <xf numFmtId="0" fontId="28" fillId="9" borderId="4" xfId="0" applyFont="1" applyFill="1" applyBorder="1" applyProtection="1"/>
    <xf numFmtId="0" fontId="0" fillId="6" borderId="60" xfId="0" applyFill="1" applyBorder="1" applyAlignment="1" applyProtection="1"/>
    <xf numFmtId="165" fontId="4" fillId="6" borderId="5" xfId="0" applyNumberFormat="1" applyFont="1" applyFill="1" applyBorder="1" applyProtection="1"/>
    <xf numFmtId="0" fontId="4" fillId="6" borderId="54" xfId="0" applyFont="1" applyFill="1" applyBorder="1" applyProtection="1"/>
    <xf numFmtId="0" fontId="8" fillId="6" borderId="47" xfId="0" applyFont="1" applyFill="1" applyBorder="1" applyProtection="1"/>
    <xf numFmtId="0" fontId="8" fillId="6" borderId="49" xfId="0" applyFont="1" applyFill="1" applyBorder="1" applyProtection="1"/>
    <xf numFmtId="165" fontId="13" fillId="0" borderId="32" xfId="0" applyNumberFormat="1" applyFont="1" applyBorder="1" applyProtection="1">
      <protection locked="0"/>
    </xf>
    <xf numFmtId="165" fontId="15" fillId="0" borderId="14" xfId="0" applyNumberFormat="1" applyFont="1" applyBorder="1" applyProtection="1">
      <protection locked="0"/>
    </xf>
    <xf numFmtId="0" fontId="4" fillId="6" borderId="47" xfId="0" applyFont="1" applyFill="1" applyBorder="1" applyProtection="1"/>
    <xf numFmtId="4" fontId="15" fillId="0" borderId="27" xfId="0" applyNumberFormat="1" applyFont="1" applyBorder="1" applyProtection="1">
      <protection locked="0"/>
    </xf>
    <xf numFmtId="4" fontId="15" fillId="0" borderId="5" xfId="0" applyNumberFormat="1" applyFont="1" applyBorder="1" applyProtection="1">
      <protection locked="0"/>
    </xf>
    <xf numFmtId="0" fontId="8" fillId="8" borderId="18" xfId="0" applyFont="1" applyFill="1" applyBorder="1" applyProtection="1"/>
    <xf numFmtId="0" fontId="4" fillId="8" borderId="61" xfId="0" applyFont="1" applyFill="1" applyBorder="1" applyProtection="1"/>
    <xf numFmtId="0" fontId="4" fillId="8" borderId="54" xfId="0" applyFont="1" applyFill="1" applyBorder="1" applyProtection="1"/>
    <xf numFmtId="0" fontId="0" fillId="8" borderId="47" xfId="0" applyFill="1" applyBorder="1" applyProtection="1"/>
    <xf numFmtId="0" fontId="8" fillId="8" borderId="47" xfId="0" applyFont="1" applyFill="1" applyBorder="1" applyProtection="1"/>
    <xf numFmtId="0" fontId="4" fillId="8" borderId="47" xfId="0" applyFont="1" applyFill="1" applyBorder="1" applyProtection="1"/>
    <xf numFmtId="0" fontId="4" fillId="8" borderId="49" xfId="0" applyFont="1" applyFill="1" applyBorder="1" applyProtection="1"/>
    <xf numFmtId="0" fontId="16" fillId="7" borderId="33" xfId="0" applyFont="1" applyFill="1" applyBorder="1" applyAlignment="1" applyProtection="1"/>
    <xf numFmtId="0" fontId="4" fillId="6" borderId="50" xfId="0" applyFont="1" applyFill="1" applyBorder="1" applyAlignment="1" applyProtection="1"/>
    <xf numFmtId="0" fontId="0" fillId="7" borderId="13" xfId="0" applyFill="1" applyBorder="1" applyAlignment="1" applyProtection="1"/>
    <xf numFmtId="0" fontId="0" fillId="6" borderId="62" xfId="0" applyFill="1" applyBorder="1" applyAlignment="1" applyProtection="1"/>
    <xf numFmtId="0" fontId="8" fillId="6" borderId="10" xfId="0" applyFont="1" applyFill="1" applyBorder="1" applyProtection="1"/>
    <xf numFmtId="0" fontId="8" fillId="6" borderId="56" xfId="0" applyFont="1" applyFill="1" applyBorder="1" applyProtection="1"/>
    <xf numFmtId="0" fontId="0" fillId="0" borderId="34" xfId="0" applyBorder="1" applyAlignment="1">
      <alignment wrapText="1"/>
    </xf>
    <xf numFmtId="0" fontId="0" fillId="0" borderId="13" xfId="0" applyBorder="1" applyAlignment="1">
      <alignment wrapText="1"/>
    </xf>
    <xf numFmtId="0" fontId="0" fillId="4" borderId="0" xfId="0" applyFill="1" applyBorder="1" applyAlignment="1">
      <alignment wrapText="1"/>
    </xf>
    <xf numFmtId="0" fontId="43" fillId="7" borderId="33" xfId="0" applyFont="1" applyFill="1" applyBorder="1" applyAlignment="1" applyProtection="1">
      <alignment wrapText="1"/>
    </xf>
    <xf numFmtId="0" fontId="16" fillId="9" borderId="22" xfId="0" applyFont="1" applyFill="1" applyBorder="1" applyAlignment="1" applyProtection="1">
      <alignment wrapText="1"/>
    </xf>
    <xf numFmtId="0" fontId="16" fillId="9" borderId="27" xfId="0" applyFont="1" applyFill="1" applyBorder="1" applyAlignment="1" applyProtection="1">
      <alignment wrapText="1"/>
    </xf>
    <xf numFmtId="0" fontId="0" fillId="11" borderId="0" xfId="0" applyFill="1" applyBorder="1" applyAlignment="1" applyProtection="1">
      <alignment vertical="center"/>
    </xf>
    <xf numFmtId="0" fontId="0" fillId="6" borderId="14" xfId="0" applyFill="1" applyBorder="1" applyAlignment="1" applyProtection="1"/>
    <xf numFmtId="0" fontId="0" fillId="6" borderId="13" xfId="0" applyFill="1" applyBorder="1" applyAlignment="1" applyProtection="1"/>
    <xf numFmtId="0" fontId="0" fillId="6" borderId="5" xfId="0" applyFill="1" applyBorder="1" applyAlignment="1" applyProtection="1"/>
    <xf numFmtId="0" fontId="0" fillId="11" borderId="47" xfId="0" applyFill="1" applyBorder="1" applyProtection="1"/>
    <xf numFmtId="165" fontId="13" fillId="0" borderId="54" xfId="0" applyNumberFormat="1" applyFont="1" applyBorder="1" applyProtection="1">
      <protection locked="0"/>
    </xf>
    <xf numFmtId="165" fontId="13" fillId="0" borderId="47" xfId="0" applyNumberFormat="1" applyFont="1" applyBorder="1" applyProtection="1">
      <protection locked="0"/>
    </xf>
    <xf numFmtId="165" fontId="13" fillId="0" borderId="49" xfId="0" applyNumberFormat="1" applyFont="1" applyBorder="1" applyProtection="1">
      <protection locked="0"/>
    </xf>
    <xf numFmtId="165" fontId="13" fillId="0" borderId="46" xfId="0" applyNumberFormat="1" applyFont="1" applyBorder="1" applyProtection="1">
      <protection locked="0"/>
    </xf>
    <xf numFmtId="0" fontId="9" fillId="13" borderId="22" xfId="0" applyFont="1" applyFill="1" applyBorder="1" applyProtection="1"/>
    <xf numFmtId="0" fontId="8" fillId="13" borderId="32" xfId="0" applyFont="1" applyFill="1" applyBorder="1"/>
    <xf numFmtId="0" fontId="8" fillId="13" borderId="27" xfId="0" applyFont="1" applyFill="1" applyBorder="1"/>
    <xf numFmtId="165" fontId="13" fillId="0" borderId="1" xfId="0" applyNumberFormat="1" applyFont="1" applyBorder="1" applyProtection="1"/>
    <xf numFmtId="4" fontId="0" fillId="6" borderId="1" xfId="0" applyNumberFormat="1" applyFill="1" applyBorder="1" applyProtection="1"/>
    <xf numFmtId="0" fontId="0" fillId="6" borderId="63" xfId="0" applyFill="1" applyBorder="1" applyAlignment="1" applyProtection="1"/>
    <xf numFmtId="4" fontId="0" fillId="6" borderId="64" xfId="0" applyNumberFormat="1" applyFill="1" applyBorder="1" applyProtection="1"/>
    <xf numFmtId="0" fontId="28" fillId="9" borderId="27" xfId="0" applyFont="1" applyFill="1" applyBorder="1" applyProtection="1"/>
    <xf numFmtId="0" fontId="8" fillId="13" borderId="4" xfId="0" applyFont="1" applyFill="1" applyBorder="1"/>
    <xf numFmtId="0" fontId="8" fillId="13" borderId="5" xfId="0" applyFont="1" applyFill="1" applyBorder="1"/>
    <xf numFmtId="0" fontId="8" fillId="6" borderId="5" xfId="0" applyFont="1" applyFill="1" applyBorder="1" applyAlignment="1" applyProtection="1">
      <alignment horizontal="center"/>
    </xf>
    <xf numFmtId="0" fontId="8" fillId="6" borderId="14" xfId="0" applyFont="1" applyFill="1" applyBorder="1" applyAlignment="1" applyProtection="1">
      <alignment horizontal="center"/>
    </xf>
    <xf numFmtId="0" fontId="4" fillId="6" borderId="0" xfId="0" applyFont="1" applyFill="1" applyBorder="1" applyAlignment="1" applyProtection="1">
      <alignment horizontal="center" vertical="center"/>
    </xf>
    <xf numFmtId="165" fontId="13" fillId="0" borderId="3" xfId="0" applyNumberFormat="1" applyFont="1" applyBorder="1" applyProtection="1">
      <protection locked="0"/>
    </xf>
    <xf numFmtId="0" fontId="4" fillId="6" borderId="34" xfId="0" applyFont="1" applyFill="1" applyBorder="1" applyAlignment="1" applyProtection="1">
      <alignment horizontal="center" vertical="center"/>
    </xf>
    <xf numFmtId="0" fontId="8" fillId="6" borderId="13" xfId="0" applyFont="1" applyFill="1" applyBorder="1" applyAlignment="1" applyProtection="1">
      <alignment horizontal="center"/>
    </xf>
    <xf numFmtId="0" fontId="0" fillId="4" borderId="0" xfId="0" applyFill="1" applyBorder="1" applyAlignment="1">
      <alignment wrapText="1"/>
    </xf>
    <xf numFmtId="0" fontId="0" fillId="4" borderId="0" xfId="0" applyFill="1" applyBorder="1" applyAlignment="1">
      <alignment wrapText="1"/>
    </xf>
    <xf numFmtId="0" fontId="0" fillId="4" borderId="0" xfId="0" applyFill="1" applyBorder="1" applyAlignment="1">
      <alignment wrapText="1"/>
    </xf>
    <xf numFmtId="0" fontId="25" fillId="5" borderId="29" xfId="0" applyFont="1" applyFill="1" applyBorder="1" applyProtection="1"/>
    <xf numFmtId="0" fontId="16" fillId="5" borderId="29" xfId="0" applyFont="1" applyFill="1" applyBorder="1" applyProtection="1"/>
    <xf numFmtId="0" fontId="4" fillId="0" borderId="43" xfId="0" applyFont="1" applyBorder="1" applyProtection="1"/>
    <xf numFmtId="4" fontId="0" fillId="0" borderId="0" xfId="0" applyNumberFormat="1"/>
    <xf numFmtId="0" fontId="44" fillId="0" borderId="43" xfId="0" applyFont="1" applyBorder="1" applyProtection="1"/>
    <xf numFmtId="4" fontId="41" fillId="0" borderId="0" xfId="0" applyNumberFormat="1" applyFont="1"/>
    <xf numFmtId="0" fontId="16" fillId="10" borderId="28" xfId="0" applyFont="1" applyFill="1" applyBorder="1" applyAlignment="1" applyProtection="1">
      <alignment horizontal="center" wrapText="1"/>
    </xf>
    <xf numFmtId="0" fontId="39" fillId="7" borderId="22" xfId="0" applyFont="1" applyFill="1" applyBorder="1" applyAlignment="1" applyProtection="1"/>
    <xf numFmtId="4" fontId="39" fillId="10" borderId="1" xfId="0" applyNumberFormat="1" applyFont="1" applyFill="1" applyBorder="1" applyAlignment="1" applyProtection="1">
      <alignment horizontal="right" wrapText="1"/>
    </xf>
    <xf numFmtId="4" fontId="39" fillId="14" borderId="1" xfId="0" applyNumberFormat="1" applyFont="1" applyFill="1" applyBorder="1" applyAlignment="1" applyProtection="1">
      <alignment horizontal="right" wrapText="1"/>
    </xf>
    <xf numFmtId="4" fontId="40" fillId="14" borderId="1" xfId="0" applyNumberFormat="1" applyFont="1" applyFill="1" applyBorder="1" applyAlignment="1" applyProtection="1">
      <alignment horizontal="right" wrapText="1"/>
    </xf>
    <xf numFmtId="4" fontId="40" fillId="10" borderId="1" xfId="0" applyNumberFormat="1" applyFont="1" applyFill="1" applyBorder="1" applyAlignment="1" applyProtection="1">
      <alignment horizontal="right" wrapText="1"/>
    </xf>
    <xf numFmtId="0" fontId="16" fillId="7" borderId="22" xfId="0" applyFont="1" applyFill="1" applyBorder="1" applyAlignment="1" applyProtection="1"/>
    <xf numFmtId="0" fontId="0" fillId="4" borderId="0" xfId="0" applyFill="1" applyBorder="1" applyAlignment="1">
      <alignment wrapText="1"/>
    </xf>
    <xf numFmtId="0" fontId="3" fillId="8" borderId="39" xfId="0" applyFont="1" applyFill="1" applyBorder="1" applyProtection="1"/>
    <xf numFmtId="0" fontId="16" fillId="7" borderId="22" xfId="0" applyFont="1" applyFill="1" applyBorder="1" applyAlignment="1" applyProtection="1"/>
    <xf numFmtId="0" fontId="0" fillId="4" borderId="0" xfId="0" applyFill="1" applyBorder="1" applyAlignment="1">
      <alignment wrapText="1"/>
    </xf>
    <xf numFmtId="0" fontId="45" fillId="0" borderId="41" xfId="0" applyFont="1" applyBorder="1" applyProtection="1"/>
    <xf numFmtId="0" fontId="3" fillId="6" borderId="39" xfId="0" applyFont="1" applyFill="1" applyBorder="1" applyProtection="1"/>
    <xf numFmtId="0" fontId="1" fillId="6" borderId="1" xfId="0" applyFont="1" applyFill="1" applyBorder="1" applyProtection="1"/>
    <xf numFmtId="165" fontId="13" fillId="0" borderId="28" xfId="0" applyNumberFormat="1" applyFont="1" applyBorder="1" applyProtection="1">
      <protection locked="0"/>
    </xf>
    <xf numFmtId="0" fontId="1" fillId="6" borderId="6" xfId="0" applyFont="1" applyFill="1" applyBorder="1" applyProtection="1"/>
    <xf numFmtId="0" fontId="1" fillId="6" borderId="39" xfId="0" applyFont="1" applyFill="1" applyBorder="1" applyProtection="1"/>
    <xf numFmtId="0" fontId="4" fillId="6" borderId="33" xfId="0" applyFont="1" applyFill="1" applyBorder="1" applyAlignment="1" applyProtection="1">
      <alignment wrapText="1"/>
    </xf>
    <xf numFmtId="0" fontId="4" fillId="6" borderId="34" xfId="0" applyFont="1" applyFill="1" applyBorder="1" applyAlignment="1" applyProtection="1">
      <alignment wrapText="1"/>
    </xf>
    <xf numFmtId="0" fontId="4" fillId="6" borderId="13" xfId="0" applyFont="1" applyFill="1" applyBorder="1" applyAlignment="1" applyProtection="1">
      <alignment wrapText="1"/>
    </xf>
    <xf numFmtId="0" fontId="31" fillId="13" borderId="22" xfId="0" applyFont="1" applyFill="1" applyBorder="1" applyAlignment="1" applyProtection="1">
      <alignment vertical="center" wrapText="1"/>
    </xf>
    <xf numFmtId="0" fontId="0" fillId="13" borderId="32" xfId="0" applyFill="1" applyBorder="1" applyAlignment="1">
      <alignment wrapText="1"/>
    </xf>
    <xf numFmtId="0" fontId="0" fillId="0" borderId="32" xfId="0" applyBorder="1" applyAlignment="1">
      <alignment wrapText="1"/>
    </xf>
    <xf numFmtId="0" fontId="0" fillId="0" borderId="27" xfId="0" applyBorder="1" applyAlignment="1">
      <alignment wrapText="1"/>
    </xf>
    <xf numFmtId="0" fontId="1" fillId="5" borderId="65" xfId="0" applyFont="1" applyFill="1" applyBorder="1" applyAlignment="1" applyProtection="1">
      <alignment horizontal="center" vertical="center" wrapText="1"/>
    </xf>
    <xf numFmtId="0" fontId="0" fillId="0" borderId="66" xfId="0" applyBorder="1" applyAlignment="1">
      <alignment horizontal="center" vertical="center" wrapText="1"/>
    </xf>
    <xf numFmtId="0" fontId="1" fillId="5" borderId="67" xfId="0" applyFont="1" applyFill="1" applyBorder="1" applyAlignment="1" applyProtection="1">
      <alignment horizontal="center" vertical="center" wrapText="1"/>
    </xf>
    <xf numFmtId="0" fontId="0" fillId="0" borderId="68" xfId="0" applyBorder="1" applyAlignment="1">
      <alignment horizontal="center" vertical="center" wrapText="1"/>
    </xf>
    <xf numFmtId="0" fontId="1" fillId="10" borderId="28"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6" borderId="28" xfId="0" applyFill="1" applyBorder="1" applyAlignment="1" applyProtection="1">
      <alignment wrapText="1"/>
    </xf>
    <xf numFmtId="0" fontId="0" fillId="0" borderId="36" xfId="0" applyBorder="1" applyAlignment="1">
      <alignment wrapText="1"/>
    </xf>
    <xf numFmtId="0" fontId="0" fillId="0" borderId="14" xfId="0" applyBorder="1" applyAlignment="1">
      <alignment wrapText="1"/>
    </xf>
    <xf numFmtId="0" fontId="0" fillId="0" borderId="5" xfId="0" applyBorder="1" applyAlignment="1">
      <alignment wrapText="1"/>
    </xf>
    <xf numFmtId="165" fontId="24" fillId="3" borderId="0" xfId="0" applyNumberFormat="1" applyFont="1" applyFill="1" applyBorder="1" applyAlignment="1" applyProtection="1">
      <alignment wrapText="1"/>
    </xf>
    <xf numFmtId="0" fontId="24" fillId="0" borderId="0" xfId="0" applyFont="1" applyBorder="1" applyAlignment="1"/>
    <xf numFmtId="0" fontId="36" fillId="6" borderId="29" xfId="0" applyFont="1" applyFill="1" applyBorder="1" applyAlignment="1" applyProtection="1">
      <alignment wrapText="1"/>
    </xf>
    <xf numFmtId="0" fontId="0" fillId="0" borderId="2" xfId="0" applyBorder="1" applyAlignment="1"/>
    <xf numFmtId="0" fontId="24" fillId="15" borderId="33" xfId="0" applyFont="1" applyFill="1" applyBorder="1" applyAlignment="1" applyProtection="1">
      <alignment wrapText="1"/>
    </xf>
    <xf numFmtId="0" fontId="24" fillId="15" borderId="34" xfId="0" applyFont="1" applyFill="1" applyBorder="1" applyAlignment="1" applyProtection="1">
      <alignment wrapText="1"/>
    </xf>
    <xf numFmtId="0" fontId="24" fillId="15" borderId="13" xfId="0" applyFont="1" applyFill="1" applyBorder="1" applyAlignment="1" applyProtection="1">
      <alignment wrapText="1"/>
    </xf>
    <xf numFmtId="0" fontId="24" fillId="15" borderId="29" xfId="0" applyFont="1" applyFill="1" applyBorder="1" applyAlignment="1" applyProtection="1">
      <alignment wrapText="1"/>
    </xf>
    <xf numFmtId="0" fontId="24" fillId="15" borderId="0" xfId="0" applyFont="1" applyFill="1" applyBorder="1" applyAlignment="1" applyProtection="1">
      <alignment wrapText="1"/>
    </xf>
    <xf numFmtId="0" fontId="24" fillId="15" borderId="14" xfId="0" applyFont="1" applyFill="1" applyBorder="1" applyAlignment="1" applyProtection="1">
      <alignment wrapText="1"/>
    </xf>
    <xf numFmtId="0" fontId="24" fillId="15" borderId="3" xfId="0" applyFont="1" applyFill="1" applyBorder="1" applyAlignment="1" applyProtection="1">
      <alignment wrapText="1"/>
    </xf>
    <xf numFmtId="0" fontId="24" fillId="15" borderId="4" xfId="0" applyFont="1" applyFill="1" applyBorder="1" applyAlignment="1" applyProtection="1">
      <alignment wrapText="1"/>
    </xf>
    <xf numFmtId="0" fontId="24" fillId="15" borderId="5" xfId="0" applyFont="1" applyFill="1" applyBorder="1" applyAlignment="1" applyProtection="1">
      <alignment wrapText="1"/>
    </xf>
    <xf numFmtId="0" fontId="3" fillId="6" borderId="10" xfId="0" applyFont="1" applyFill="1" applyBorder="1" applyAlignment="1" applyProtection="1"/>
    <xf numFmtId="0" fontId="0" fillId="0" borderId="56" xfId="0" applyBorder="1" applyAlignment="1"/>
    <xf numFmtId="0" fontId="8" fillId="6" borderId="19" xfId="0" applyFont="1" applyFill="1" applyBorder="1" applyAlignment="1" applyProtection="1"/>
    <xf numFmtId="0" fontId="0" fillId="0" borderId="20" xfId="0" applyBorder="1" applyAlignment="1"/>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13" xfId="0" applyFont="1" applyBorder="1" applyAlignment="1">
      <alignment vertical="center" wrapText="1"/>
    </xf>
    <xf numFmtId="0" fontId="24" fillId="0" borderId="29" xfId="0" applyFont="1" applyBorder="1" applyAlignment="1">
      <alignment vertical="center" wrapText="1"/>
    </xf>
    <xf numFmtId="0" fontId="24" fillId="0" borderId="0" xfId="0" applyFont="1" applyBorder="1" applyAlignment="1">
      <alignment vertical="center" wrapText="1"/>
    </xf>
    <xf numFmtId="0" fontId="24" fillId="0" borderId="14"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3" borderId="22" xfId="0" applyFont="1" applyFill="1"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24" fillId="4" borderId="22" xfId="0" applyFont="1" applyFill="1" applyBorder="1" applyAlignment="1">
      <alignment vertical="top" wrapText="1"/>
    </xf>
    <xf numFmtId="0" fontId="0" fillId="0" borderId="32" xfId="0" applyBorder="1" applyAlignment="1">
      <alignment vertical="top" wrapText="1"/>
    </xf>
    <xf numFmtId="0" fontId="0" fillId="0" borderId="27" xfId="0" applyBorder="1" applyAlignment="1">
      <alignment vertical="top" wrapText="1"/>
    </xf>
    <xf numFmtId="0" fontId="24" fillId="15" borderId="33" xfId="0" applyFont="1" applyFill="1" applyBorder="1" applyAlignment="1">
      <alignment wrapText="1"/>
    </xf>
    <xf numFmtId="0" fontId="24" fillId="15" borderId="34" xfId="0" applyFont="1" applyFill="1" applyBorder="1" applyAlignment="1">
      <alignment wrapText="1"/>
    </xf>
    <xf numFmtId="0" fontId="24" fillId="15" borderId="13" xfId="0" applyFont="1" applyFill="1" applyBorder="1" applyAlignment="1">
      <alignment wrapText="1"/>
    </xf>
    <xf numFmtId="0" fontId="24" fillId="15" borderId="29" xfId="0" applyFont="1" applyFill="1" applyBorder="1" applyAlignment="1">
      <alignment wrapText="1"/>
    </xf>
    <xf numFmtId="0" fontId="24" fillId="15" borderId="0" xfId="0" applyFont="1" applyFill="1" applyBorder="1" applyAlignment="1">
      <alignment wrapText="1"/>
    </xf>
    <xf numFmtId="0" fontId="24" fillId="15" borderId="14" xfId="0" applyFont="1" applyFill="1" applyBorder="1" applyAlignment="1">
      <alignment wrapText="1"/>
    </xf>
    <xf numFmtId="0" fontId="24" fillId="15" borderId="3" xfId="0" applyFont="1" applyFill="1" applyBorder="1" applyAlignment="1">
      <alignment wrapText="1"/>
    </xf>
    <xf numFmtId="0" fontId="24" fillId="15" borderId="4" xfId="0" applyFont="1" applyFill="1" applyBorder="1" applyAlignment="1">
      <alignment wrapText="1"/>
    </xf>
    <xf numFmtId="0" fontId="24" fillId="15" borderId="5" xfId="0" applyFont="1" applyFill="1" applyBorder="1" applyAlignment="1">
      <alignment wrapText="1"/>
    </xf>
    <xf numFmtId="0" fontId="24" fillId="4" borderId="33" xfId="0" applyFont="1" applyFill="1" applyBorder="1" applyAlignment="1">
      <alignment vertical="center" wrapText="1"/>
    </xf>
    <xf numFmtId="0" fontId="24" fillId="4" borderId="34" xfId="0" applyFont="1" applyFill="1" applyBorder="1" applyAlignment="1">
      <alignment vertical="center"/>
    </xf>
    <xf numFmtId="0" fontId="24" fillId="4" borderId="13" xfId="0" applyFont="1" applyFill="1" applyBorder="1" applyAlignment="1">
      <alignment vertical="center"/>
    </xf>
    <xf numFmtId="0" fontId="24" fillId="4" borderId="29" xfId="0" applyFont="1" applyFill="1" applyBorder="1" applyAlignment="1">
      <alignment vertical="center"/>
    </xf>
    <xf numFmtId="0" fontId="24" fillId="4" borderId="0" xfId="0" applyFont="1" applyFill="1" applyBorder="1" applyAlignment="1">
      <alignment vertical="center"/>
    </xf>
    <xf numFmtId="0" fontId="24" fillId="4" borderId="14" xfId="0" applyFont="1" applyFill="1" applyBorder="1" applyAlignment="1">
      <alignment vertical="center"/>
    </xf>
    <xf numFmtId="0" fontId="24" fillId="4" borderId="3" xfId="0" applyFont="1" applyFill="1" applyBorder="1" applyAlignment="1">
      <alignment vertical="center"/>
    </xf>
    <xf numFmtId="0" fontId="24" fillId="4" borderId="4" xfId="0" applyFont="1" applyFill="1" applyBorder="1" applyAlignment="1">
      <alignment vertical="center"/>
    </xf>
    <xf numFmtId="0" fontId="24" fillId="4" borderId="5" xfId="0" applyFont="1" applyFill="1" applyBorder="1" applyAlignment="1">
      <alignment vertical="center"/>
    </xf>
    <xf numFmtId="0" fontId="16" fillId="7" borderId="22" xfId="0" applyFont="1" applyFill="1" applyBorder="1" applyAlignment="1" applyProtection="1"/>
    <xf numFmtId="0" fontId="0" fillId="0" borderId="27" xfId="0" applyBorder="1" applyAlignment="1"/>
    <xf numFmtId="0" fontId="32" fillId="13" borderId="22" xfId="0" applyFont="1" applyFill="1" applyBorder="1" applyAlignment="1" applyProtection="1">
      <alignment vertical="center" wrapText="1"/>
    </xf>
    <xf numFmtId="0" fontId="6" fillId="5" borderId="34" xfId="0" applyFont="1" applyFill="1" applyBorder="1" applyAlignment="1" applyProtection="1"/>
    <xf numFmtId="0" fontId="0" fillId="0" borderId="13" xfId="0" applyBorder="1" applyAlignment="1"/>
    <xf numFmtId="0" fontId="0" fillId="0" borderId="4" xfId="0" applyBorder="1" applyAlignment="1"/>
    <xf numFmtId="0" fontId="0" fillId="0" borderId="5" xfId="0" applyBorder="1" applyAlignment="1"/>
    <xf numFmtId="0" fontId="16" fillId="5" borderId="33" xfId="0" applyFont="1" applyFill="1" applyBorder="1" applyAlignment="1" applyProtection="1"/>
    <xf numFmtId="0" fontId="0" fillId="0" borderId="34" xfId="0" applyBorder="1" applyAlignment="1"/>
    <xf numFmtId="0" fontId="16" fillId="5" borderId="29" xfId="0" applyFont="1" applyFill="1" applyBorder="1" applyAlignment="1" applyProtection="1"/>
    <xf numFmtId="0" fontId="0" fillId="0" borderId="0" xfId="0" applyBorder="1" applyAlignment="1"/>
    <xf numFmtId="0" fontId="0" fillId="0" borderId="14" xfId="0" applyBorder="1" applyAlignment="1"/>
    <xf numFmtId="0" fontId="7" fillId="5" borderId="33" xfId="0" applyFont="1" applyFill="1" applyBorder="1" applyAlignment="1" applyProtection="1"/>
    <xf numFmtId="0" fontId="16" fillId="7" borderId="27" xfId="0" applyFont="1" applyFill="1" applyBorder="1" applyAlignment="1" applyProtection="1"/>
    <xf numFmtId="0" fontId="0" fillId="0" borderId="32" xfId="0" applyBorder="1" applyAlignment="1"/>
    <xf numFmtId="0" fontId="8" fillId="6" borderId="10" xfId="0" applyFont="1" applyFill="1" applyBorder="1" applyAlignment="1" applyProtection="1"/>
    <xf numFmtId="0" fontId="8" fillId="4" borderId="29" xfId="1" applyFont="1" applyFill="1" applyBorder="1" applyAlignment="1" applyProtection="1">
      <alignment vertical="center" wrapText="1"/>
    </xf>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24" fillId="4" borderId="0" xfId="0" applyFont="1" applyFill="1" applyBorder="1" applyAlignment="1">
      <alignment wrapText="1"/>
    </xf>
    <xf numFmtId="0" fontId="0" fillId="4" borderId="0" xfId="0" applyFill="1" applyBorder="1" applyAlignment="1">
      <alignment wrapText="1"/>
    </xf>
    <xf numFmtId="0" fontId="8" fillId="4" borderId="33" xfId="1" applyFont="1" applyFill="1" applyBorder="1" applyAlignment="1" applyProtection="1">
      <alignment wrapText="1"/>
    </xf>
    <xf numFmtId="0" fontId="8" fillId="4" borderId="34" xfId="1" applyFont="1" applyFill="1" applyBorder="1" applyAlignment="1" applyProtection="1">
      <alignment wrapText="1"/>
    </xf>
    <xf numFmtId="0" fontId="8" fillId="4" borderId="13" xfId="1" applyFont="1" applyFill="1" applyBorder="1" applyAlignment="1" applyProtection="1">
      <alignment wrapText="1"/>
    </xf>
    <xf numFmtId="165" fontId="8" fillId="16" borderId="22" xfId="0" applyNumberFormat="1" applyFont="1" applyFill="1" applyBorder="1" applyAlignment="1" applyProtection="1">
      <alignment wrapText="1"/>
    </xf>
    <xf numFmtId="0" fontId="8" fillId="16" borderId="32" xfId="0" applyFont="1" applyFill="1" applyBorder="1" applyAlignment="1">
      <alignment wrapText="1"/>
    </xf>
    <xf numFmtId="0" fontId="8" fillId="16" borderId="27" xfId="0" applyFont="1" applyFill="1" applyBorder="1" applyAlignment="1">
      <alignment wrapText="1"/>
    </xf>
    <xf numFmtId="0" fontId="8" fillId="4" borderId="0" xfId="0" applyFont="1" applyFill="1" applyAlignment="1">
      <alignment wrapText="1"/>
    </xf>
    <xf numFmtId="0" fontId="0" fillId="4" borderId="0" xfId="0" applyFill="1" applyAlignment="1">
      <alignment wrapText="1"/>
    </xf>
    <xf numFmtId="0" fontId="17" fillId="4" borderId="0" xfId="1" applyFill="1" applyBorder="1" applyAlignment="1" applyProtection="1">
      <alignment wrapText="1"/>
    </xf>
    <xf numFmtId="0" fontId="24" fillId="15" borderId="22" xfId="0" applyFont="1" applyFill="1" applyBorder="1" applyAlignment="1" applyProtection="1">
      <alignment wrapText="1"/>
    </xf>
    <xf numFmtId="0" fontId="24" fillId="15" borderId="32" xfId="0" applyFont="1" applyFill="1" applyBorder="1" applyAlignment="1" applyProtection="1">
      <alignment wrapText="1"/>
    </xf>
    <xf numFmtId="0" fontId="24" fillId="15" borderId="27" xfId="0" applyFont="1" applyFill="1" applyBorder="1" applyAlignment="1" applyProtection="1">
      <alignment wrapText="1"/>
    </xf>
    <xf numFmtId="0" fontId="36" fillId="6" borderId="33" xfId="0" applyFont="1" applyFill="1" applyBorder="1" applyAlignment="1" applyProtection="1">
      <alignment wrapText="1"/>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0FECE"/>
      <rgbColor rgb="00993366"/>
      <rgbColor rgb="00FFFFCC"/>
      <rgbColor rgb="00CCFFFF"/>
      <rgbColor rgb="009FFF9F"/>
      <rgbColor rgb="00FF8080"/>
      <rgbColor rgb="000066CC"/>
      <rgbColor rgb="00EFF2F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 name="Grafik 4" descr="logo_ihk.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5" name="Grafik 4" descr="logo_ihk.gif">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9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9319" name="Grafik 4" descr="logo_ihk.gif">
          <a:extLst>
            <a:ext uri="{FF2B5EF4-FFF2-40B4-BE49-F238E27FC236}">
              <a16:creationId xmlns:a16="http://schemas.microsoft.com/office/drawing/2014/main" id="{00000000-0008-0000-0900-0000979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9321" name="Grafik 4" descr="logo_ihk.gif">
          <a:extLst>
            <a:ext uri="{FF2B5EF4-FFF2-40B4-BE49-F238E27FC236}">
              <a16:creationId xmlns:a16="http://schemas.microsoft.com/office/drawing/2014/main" id="{00000000-0008-0000-0900-0000999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5321" name="Grafik 4" descr="logo_ihk.gif">
          <a:extLst>
            <a:ext uri="{FF2B5EF4-FFF2-40B4-BE49-F238E27FC236}">
              <a16:creationId xmlns:a16="http://schemas.microsoft.com/office/drawing/2014/main" id="{00000000-0008-0000-0A00-0000F98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A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5323" name="Grafik 4" descr="logo_ihk.gif">
          <a:extLst>
            <a:ext uri="{FF2B5EF4-FFF2-40B4-BE49-F238E27FC236}">
              <a16:creationId xmlns:a16="http://schemas.microsoft.com/office/drawing/2014/main" id="{00000000-0008-0000-0A00-0000FB8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42789" cy="636811"/>
    <xdr:sp macro="" textlink="">
      <xdr:nvSpPr>
        <xdr:cNvPr id="2" name="Textfeld 1">
          <a:extLst>
            <a:ext uri="{FF2B5EF4-FFF2-40B4-BE49-F238E27FC236}">
              <a16:creationId xmlns:a16="http://schemas.microsoft.com/office/drawing/2014/main" id="{00000000-0008-0000-0B00-000002000000}"/>
            </a:ext>
          </a:extLst>
        </xdr:cNvPr>
        <xdr:cNvSpPr txBox="1"/>
      </xdr:nvSpPr>
      <xdr:spPr>
        <a:xfrm>
          <a:off x="1543050" y="104775"/>
          <a:ext cx="9042789"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7266" name="Grafik 4" descr="logo_ihk.gif">
          <a:extLst>
            <a:ext uri="{FF2B5EF4-FFF2-40B4-BE49-F238E27FC236}">
              <a16:creationId xmlns:a16="http://schemas.microsoft.com/office/drawing/2014/main" id="{00000000-0008-0000-0B00-0000929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42789" cy="636811"/>
    <xdr:sp macro="" textlink="">
      <xdr:nvSpPr>
        <xdr:cNvPr id="4" name="Textfeld 3">
          <a:extLst>
            <a:ext uri="{FF2B5EF4-FFF2-40B4-BE49-F238E27FC236}">
              <a16:creationId xmlns:a16="http://schemas.microsoft.com/office/drawing/2014/main" id="{00000000-0008-0000-0B00-000004000000}"/>
            </a:ext>
          </a:extLst>
        </xdr:cNvPr>
        <xdr:cNvSpPr txBox="1"/>
      </xdr:nvSpPr>
      <xdr:spPr>
        <a:xfrm>
          <a:off x="1543050" y="104775"/>
          <a:ext cx="9042789"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7268" name="Grafik 4" descr="logo_ihk.gif">
          <a:extLst>
            <a:ext uri="{FF2B5EF4-FFF2-40B4-BE49-F238E27FC236}">
              <a16:creationId xmlns:a16="http://schemas.microsoft.com/office/drawing/2014/main" id="{00000000-0008-0000-0B00-0000949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42789" cy="636811"/>
    <xdr:sp macro="" textlink="">
      <xdr:nvSpPr>
        <xdr:cNvPr id="2" name="Textfeld 1">
          <a:extLst>
            <a:ext uri="{FF2B5EF4-FFF2-40B4-BE49-F238E27FC236}">
              <a16:creationId xmlns:a16="http://schemas.microsoft.com/office/drawing/2014/main" id="{00000000-0008-0000-0C00-000002000000}"/>
            </a:ext>
          </a:extLst>
        </xdr:cNvPr>
        <xdr:cNvSpPr txBox="1"/>
      </xdr:nvSpPr>
      <xdr:spPr>
        <a:xfrm>
          <a:off x="1543050" y="104775"/>
          <a:ext cx="9029700"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4399" name="Grafik 4" descr="logo_ihk.gif">
          <a:extLst>
            <a:ext uri="{FF2B5EF4-FFF2-40B4-BE49-F238E27FC236}">
              <a16:creationId xmlns:a16="http://schemas.microsoft.com/office/drawing/2014/main" id="{00000000-0008-0000-0C00-00005F8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42789" cy="636811"/>
    <xdr:sp macro="" textlink="">
      <xdr:nvSpPr>
        <xdr:cNvPr id="4" name="Textfeld 3">
          <a:extLst>
            <a:ext uri="{FF2B5EF4-FFF2-40B4-BE49-F238E27FC236}">
              <a16:creationId xmlns:a16="http://schemas.microsoft.com/office/drawing/2014/main" id="{00000000-0008-0000-0C00-000004000000}"/>
            </a:ext>
          </a:extLst>
        </xdr:cNvPr>
        <xdr:cNvSpPr txBox="1"/>
      </xdr:nvSpPr>
      <xdr:spPr>
        <a:xfrm>
          <a:off x="1543050" y="104775"/>
          <a:ext cx="9029700"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4401" name="Grafik 4" descr="logo_ihk.gif">
          <a:extLst>
            <a:ext uri="{FF2B5EF4-FFF2-40B4-BE49-F238E27FC236}">
              <a16:creationId xmlns:a16="http://schemas.microsoft.com/office/drawing/2014/main" id="{00000000-0008-0000-0C00-0000618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4376" name="Grafik 4" descr="logo_ihk.gif">
          <a:extLst>
            <a:ext uri="{FF2B5EF4-FFF2-40B4-BE49-F238E27FC236}">
              <a16:creationId xmlns:a16="http://schemas.microsoft.com/office/drawing/2014/main" id="{00000000-0008-0000-0D00-000058A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D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4378" name="Grafik 4" descr="logo_ihk.gif">
          <a:extLst>
            <a:ext uri="{FF2B5EF4-FFF2-40B4-BE49-F238E27FC236}">
              <a16:creationId xmlns:a16="http://schemas.microsoft.com/office/drawing/2014/main" id="{00000000-0008-0000-0D00-00005AA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7233" name="Grafik 4" descr="logo_ihk.gif">
          <a:extLst>
            <a:ext uri="{FF2B5EF4-FFF2-40B4-BE49-F238E27FC236}">
              <a16:creationId xmlns:a16="http://schemas.microsoft.com/office/drawing/2014/main" id="{00000000-0008-0000-0200-000081B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7235" name="Grafik 4" descr="logo_ihk.gif">
          <a:extLst>
            <a:ext uri="{FF2B5EF4-FFF2-40B4-BE49-F238E27FC236}">
              <a16:creationId xmlns:a16="http://schemas.microsoft.com/office/drawing/2014/main" id="{00000000-0008-0000-0200-000083B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9198" name="Grafik 4" descr="logo_ihk.gif">
          <a:extLst>
            <a:ext uri="{FF2B5EF4-FFF2-40B4-BE49-F238E27FC236}">
              <a16:creationId xmlns:a16="http://schemas.microsoft.com/office/drawing/2014/main" id="{00000000-0008-0000-0400-00002E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9200" name="Grafik 4" descr="logo_ihk.gif">
          <a:extLst>
            <a:ext uri="{FF2B5EF4-FFF2-40B4-BE49-F238E27FC236}">
              <a16:creationId xmlns:a16="http://schemas.microsoft.com/office/drawing/2014/main" id="{00000000-0008-0000-0400-000030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 name="Grafik 4" descr="logo_ihk.gif">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5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5" name="Grafik 4" descr="logo_ihk.gif">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 name="Grafik 4" descr="logo_ihk.gif">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6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5" name="Grafik 4" descr="logo_ihk.gif">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8277" name="Grafik 4" descr="logo_ihk.gif">
          <a:extLst>
            <a:ext uri="{FF2B5EF4-FFF2-40B4-BE49-F238E27FC236}">
              <a16:creationId xmlns:a16="http://schemas.microsoft.com/office/drawing/2014/main" id="{00000000-0008-0000-0700-0000859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7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8279" name="Grafik 4" descr="logo_ihk.gif">
          <a:extLst>
            <a:ext uri="{FF2B5EF4-FFF2-40B4-BE49-F238E27FC236}">
              <a16:creationId xmlns:a16="http://schemas.microsoft.com/office/drawing/2014/main" id="{00000000-0008-0000-0700-0000879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8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BG265"/>
  <sheetViews>
    <sheetView tabSelected="1" zoomScaleNormal="100" workbookViewId="0">
      <selection activeCell="B5" sqref="B5:B6"/>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3.75" customHeight="1" thickBot="1" x14ac:dyDescent="0.3">
      <c r="A2" s="107"/>
      <c r="B2" s="292" t="s">
        <v>206</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296" t="s">
        <v>3</v>
      </c>
      <c r="C5" s="298" t="s">
        <v>4</v>
      </c>
      <c r="D5" s="300"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297"/>
      <c r="C6" s="299"/>
      <c r="D6" s="301"/>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v>327</v>
      </c>
      <c r="D7" s="21"/>
      <c r="E7" s="103"/>
      <c r="F7" s="42"/>
      <c r="G7" s="112"/>
      <c r="H7" s="80" t="s">
        <v>43</v>
      </c>
      <c r="I7" s="79" t="s">
        <v>52</v>
      </c>
      <c r="J7" s="25">
        <f>PRODUCT($C$10,5.13)</f>
        <v>1677.51</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v>0</v>
      </c>
      <c r="D8" s="22"/>
      <c r="E8" s="103"/>
      <c r="F8" s="42"/>
      <c r="G8" s="112"/>
      <c r="H8" s="82" t="s">
        <v>44</v>
      </c>
      <c r="I8" s="36" t="s">
        <v>53</v>
      </c>
      <c r="J8" s="26">
        <v>250</v>
      </c>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v>0</v>
      </c>
      <c r="D9" s="22"/>
      <c r="E9" s="103"/>
      <c r="F9" s="42"/>
      <c r="G9" s="112"/>
      <c r="H9" s="281" t="s">
        <v>45</v>
      </c>
      <c r="I9" s="51"/>
      <c r="J9" s="73">
        <f>IF(J7&lt;250.01,0,SUM(J7,-J8))</f>
        <v>1427.51</v>
      </c>
      <c r="K9" s="114"/>
      <c r="L9" s="105">
        <f>IF(C13&gt;19.5,19.5,C13)</f>
        <v>18.600000000000001</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327</v>
      </c>
      <c r="D10" s="23"/>
      <c r="E10" s="103"/>
      <c r="F10" s="42"/>
      <c r="G10" s="112"/>
      <c r="H10" s="80" t="s">
        <v>46</v>
      </c>
      <c r="I10" s="79"/>
      <c r="J10" s="25">
        <f>IF($C$10&lt;48.732943,PRODUCT($C$10,20.5),(PRODUCT($C$10,20.5)-J9))</f>
        <v>5275.99</v>
      </c>
      <c r="K10" s="114"/>
      <c r="L10" s="105">
        <f>IF(C16&gt;25.9,25.9,C16)</f>
        <v>24.7</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v>0</v>
      </c>
      <c r="D11" s="61">
        <f>(C11*D13)/(C13)</f>
        <v>0</v>
      </c>
      <c r="E11" s="103"/>
      <c r="F11" s="42"/>
      <c r="G11" s="112"/>
      <c r="H11" s="27" t="s">
        <v>60</v>
      </c>
      <c r="I11" s="28"/>
      <c r="J11" s="29">
        <f>IF(J10&lt;1000,0,SUM(J10,-1000))</f>
        <v>4275.99</v>
      </c>
      <c r="K11" s="114"/>
      <c r="L11" s="105">
        <f>IF(C17&gt;16.15,16.15,C17)</f>
        <v>15.4</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280" t="s">
        <v>173</v>
      </c>
      <c r="C13" s="60">
        <v>18.600000000000001</v>
      </c>
      <c r="D13" s="63">
        <f>L9</f>
        <v>18.600000000000001</v>
      </c>
      <c r="E13" s="103"/>
      <c r="F13" s="42"/>
      <c r="G13" s="112"/>
      <c r="H13" s="30" t="s">
        <v>11</v>
      </c>
      <c r="I13" s="31"/>
      <c r="J13" s="32">
        <f>J11-D18</f>
        <v>4275.99</v>
      </c>
      <c r="K13" s="114"/>
      <c r="L13" s="105">
        <f>J11*0.9</f>
        <v>3848.3910000000001</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v>0</v>
      </c>
      <c r="D14" s="62">
        <f>(C14*D17)/(C17)</f>
        <v>0</v>
      </c>
      <c r="E14" s="103"/>
      <c r="F14" s="42"/>
      <c r="G14" s="112"/>
      <c r="H14" s="50" t="s">
        <v>122</v>
      </c>
      <c r="I14" s="51"/>
      <c r="J14" s="73">
        <f>IF(L15&lt;0,0,L15)</f>
        <v>3848.3910000000001</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4">
        <v>0</v>
      </c>
      <c r="D15" s="62">
        <f>(C15*D16)/(C16)</f>
        <v>0</v>
      </c>
      <c r="E15" s="103"/>
      <c r="F15" s="42"/>
      <c r="G15" s="112"/>
      <c r="H15" s="74" t="s">
        <v>1</v>
      </c>
      <c r="I15" s="75"/>
      <c r="J15" s="34">
        <f>(C10*20.5)-J9-J14</f>
        <v>1427.5989999999997</v>
      </c>
      <c r="K15" s="114"/>
      <c r="L15" s="105">
        <f>J13*0.9</f>
        <v>3848.3910000000001</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280" t="s">
        <v>174</v>
      </c>
      <c r="C16" s="93">
        <v>24.7</v>
      </c>
      <c r="D16" s="63">
        <f>L10</f>
        <v>24.7</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280" t="s">
        <v>175</v>
      </c>
      <c r="C17" s="65">
        <v>15.4</v>
      </c>
      <c r="D17" s="64">
        <f>L11</f>
        <v>15.4</v>
      </c>
      <c r="E17" s="103"/>
      <c r="F17" s="42"/>
      <c r="G17" s="112"/>
      <c r="H17" s="52" t="s">
        <v>30</v>
      </c>
      <c r="I17" s="53"/>
      <c r="J17" s="73">
        <f>C8*20.5</f>
        <v>0</v>
      </c>
      <c r="K17" s="114"/>
      <c r="L17" s="105">
        <f>IF(L15&lt;L13,L15,L13)</f>
        <v>3848.3910000000001</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138" t="s">
        <v>36</v>
      </c>
      <c r="C19" s="148">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149">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150">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181</v>
      </c>
      <c r="C22" s="150">
        <v>0</v>
      </c>
      <c r="D22" s="303"/>
      <c r="E22" s="103"/>
      <c r="F22" s="42"/>
      <c r="G22" s="112"/>
      <c r="H22" s="165"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0" t="s">
        <v>188</v>
      </c>
      <c r="C23" s="151">
        <v>0</v>
      </c>
      <c r="D23" s="303"/>
      <c r="E23" s="103"/>
      <c r="F23" s="42"/>
      <c r="G23" s="112"/>
      <c r="H23" s="82"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285" t="s">
        <v>191</v>
      </c>
      <c r="C24" s="176">
        <v>0</v>
      </c>
      <c r="D24" s="303"/>
      <c r="E24" s="103"/>
      <c r="F24" s="42"/>
      <c r="G24" s="112"/>
      <c r="H24" s="82"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40" t="s">
        <v>186</v>
      </c>
      <c r="C25" s="243">
        <v>0</v>
      </c>
      <c r="D25" s="303"/>
      <c r="E25" s="103"/>
      <c r="F25" s="42"/>
      <c r="G25" s="112"/>
      <c r="H25" s="284" t="s">
        <v>184</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0" t="s">
        <v>189</v>
      </c>
      <c r="C26" s="260">
        <v>0</v>
      </c>
      <c r="D26" s="303"/>
      <c r="E26" s="103"/>
      <c r="F26" s="42"/>
      <c r="G26" s="112"/>
      <c r="H26" s="284" t="s">
        <v>190</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38" t="s">
        <v>8</v>
      </c>
      <c r="C27" s="2">
        <v>0</v>
      </c>
      <c r="D27" s="303"/>
      <c r="E27" s="103"/>
      <c r="F27" s="42"/>
      <c r="G27" s="112"/>
      <c r="H27" s="284" t="s">
        <v>187</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39" t="s">
        <v>18</v>
      </c>
      <c r="C28" s="188">
        <v>0</v>
      </c>
      <c r="D28" s="303"/>
      <c r="E28" s="103"/>
      <c r="F28" s="42"/>
      <c r="G28" s="112"/>
      <c r="H28" s="284" t="s">
        <v>183</v>
      </c>
      <c r="I28" s="36" t="s">
        <v>123</v>
      </c>
      <c r="J28" s="168">
        <f>PRODUCT(C25,10)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v>0</v>
      </c>
      <c r="D29" s="303"/>
      <c r="E29" s="103"/>
      <c r="F29" s="42"/>
      <c r="G29" s="112"/>
      <c r="H29" s="284" t="s">
        <v>192</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181</v>
      </c>
      <c r="C30" s="154">
        <v>0</v>
      </c>
      <c r="D30" s="303"/>
      <c r="E30" s="103"/>
      <c r="F30" s="42"/>
      <c r="G30" s="112"/>
      <c r="H30" s="166"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0" t="s">
        <v>185</v>
      </c>
      <c r="C31" s="154">
        <v>0</v>
      </c>
      <c r="D31" s="303"/>
      <c r="E31" s="103"/>
      <c r="F31" s="42"/>
      <c r="G31" s="112"/>
      <c r="H31" s="82" t="s">
        <v>22</v>
      </c>
      <c r="I31" s="171" t="s">
        <v>34</v>
      </c>
      <c r="J31" s="168">
        <f>PRODUCT(C28,5.5)</f>
        <v>0</v>
      </c>
      <c r="K31" s="111"/>
      <c r="L31" s="105"/>
      <c r="M31" s="87"/>
      <c r="N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0" t="s">
        <v>188</v>
      </c>
      <c r="C32" s="155">
        <v>0</v>
      </c>
      <c r="D32" s="303"/>
      <c r="E32" s="103"/>
      <c r="F32" s="42"/>
      <c r="G32" s="112"/>
      <c r="H32" s="82"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38" t="s">
        <v>9</v>
      </c>
      <c r="C33" s="190">
        <v>0</v>
      </c>
      <c r="D33" s="304"/>
      <c r="E33" s="103"/>
      <c r="F33" s="42"/>
      <c r="G33" s="112"/>
      <c r="H33" s="284" t="s">
        <v>193</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9">
        <v>0</v>
      </c>
      <c r="D34" s="304"/>
      <c r="E34" s="103"/>
      <c r="F34" s="42"/>
      <c r="G34" s="112"/>
      <c r="H34" s="284" t="s">
        <v>194</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2">
        <v>0</v>
      </c>
      <c r="D35" s="304"/>
      <c r="E35" s="103"/>
      <c r="F35" s="42"/>
      <c r="G35" s="112"/>
      <c r="H35" s="284" t="s">
        <v>195</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181</v>
      </c>
      <c r="C36" s="152">
        <v>0</v>
      </c>
      <c r="D36" s="304"/>
      <c r="E36" s="103"/>
      <c r="F36" s="10"/>
      <c r="G36" s="10"/>
      <c r="H36" s="166"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182</v>
      </c>
      <c r="C37" s="152">
        <v>0</v>
      </c>
      <c r="D37" s="304"/>
      <c r="E37" s="103"/>
      <c r="F37" s="42"/>
      <c r="G37" s="112"/>
      <c r="H37" s="82"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0" t="s">
        <v>189</v>
      </c>
      <c r="C38" s="153">
        <v>0</v>
      </c>
      <c r="D38" s="305"/>
      <c r="E38" s="103"/>
      <c r="F38" s="42"/>
      <c r="G38" s="112"/>
      <c r="H38" s="82"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09"/>
      <c r="B39" s="118"/>
      <c r="C39" s="118"/>
      <c r="D39" s="118"/>
      <c r="E39" s="103"/>
      <c r="F39" s="42"/>
      <c r="G39" s="112"/>
      <c r="H39" s="284" t="s">
        <v>196</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09"/>
      <c r="B40" s="289" t="s">
        <v>119</v>
      </c>
      <c r="C40" s="290"/>
      <c r="D40" s="291"/>
      <c r="E40" s="103"/>
      <c r="F40" s="42"/>
      <c r="G40" s="112"/>
      <c r="H40" s="284" t="s">
        <v>197</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7" customHeight="1" thickBot="1" x14ac:dyDescent="0.3">
      <c r="A41" s="109"/>
      <c r="B41" s="308" t="s">
        <v>120</v>
      </c>
      <c r="C41" s="259" t="s">
        <v>4</v>
      </c>
      <c r="D41" s="258"/>
      <c r="E41" s="103"/>
      <c r="F41" s="10"/>
      <c r="G41" s="10"/>
      <c r="H41" s="284" t="s">
        <v>198</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1" customHeight="1" thickBot="1" x14ac:dyDescent="0.35">
      <c r="A42" s="109"/>
      <c r="B42" s="309"/>
      <c r="C42" s="250">
        <f>SUM(C47:C49)</f>
        <v>0</v>
      </c>
      <c r="D42" s="257" t="s">
        <v>114</v>
      </c>
      <c r="E42" s="103"/>
      <c r="F42" s="42"/>
      <c r="G42" s="42"/>
      <c r="H42" s="167" t="s">
        <v>5</v>
      </c>
      <c r="I42" s="172"/>
      <c r="J42" s="170">
        <v>-250</v>
      </c>
      <c r="K42" s="111"/>
      <c r="L42" s="270">
        <v>51</v>
      </c>
      <c r="M42" s="270">
        <v>53</v>
      </c>
      <c r="N42" s="270">
        <v>54</v>
      </c>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175" t="s">
        <v>86</v>
      </c>
      <c r="I43" s="163"/>
      <c r="J43" s="164">
        <f>IF(SUM(J22,J30,J36)&gt;250,SUM(J22:J42),SUM(J23:J29,J31:J35,J37:J41))</f>
        <v>0</v>
      </c>
      <c r="K43" s="111"/>
      <c r="L43" s="271">
        <f>SUM(J23,J31,J37)</f>
        <v>0</v>
      </c>
      <c r="M43" s="271">
        <f>SUM(J24:J29,J32:J35,J38:J41)</f>
        <v>0</v>
      </c>
      <c r="N43" s="271">
        <f>SUM(J22,J30,J36,J42)</f>
        <v>-250</v>
      </c>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91"/>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87"/>
      <c r="BG46" s="87"/>
    </row>
    <row r="47" spans="1:59" s="6" customFormat="1" ht="20.25" customHeight="1" thickBot="1" x14ac:dyDescent="0.35">
      <c r="A47" s="115"/>
      <c r="B47" s="156" t="s">
        <v>110</v>
      </c>
      <c r="C47" s="243">
        <v>0</v>
      </c>
      <c r="D47" s="240"/>
      <c r="E47" s="104"/>
      <c r="F47" s="5"/>
      <c r="G47" s="5"/>
      <c r="H47" s="33" t="s">
        <v>47</v>
      </c>
      <c r="I47" s="39"/>
      <c r="J47" s="40">
        <f>IF(SUM(PRODUCT(SUM(C19,-C20,-C21,-C22,-C23),5.11),PRODUCT(SUM(C27,-C28,-C29,-C30,-C31,-C32),2.28),PRODUCT(SUM(C33,-C34,-C35,-C36,-C37,-C38),19.89),-750)&lt;0,0,SUM(PRODUCT(SUM(C19,-C20,-C21,-C22,-C23),5.11),PRODUCT(SUM(C27,-C28,-C29,-C30,-C31,-C32),2.28),PRODUCT(SUM(C33,-C34,-C35,-C36,-C37,-C38),19.89),-750))</f>
        <v>0</v>
      </c>
      <c r="K47" s="116"/>
      <c r="L47" s="193">
        <f>J47*0.9</f>
        <v>0</v>
      </c>
      <c r="M47" s="193"/>
      <c r="N47" s="193"/>
      <c r="O47" s="28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05"/>
      <c r="BG47" s="87"/>
    </row>
    <row r="48" spans="1:59" s="6" customFormat="1" ht="23.25" customHeight="1" thickBot="1" x14ac:dyDescent="0.4">
      <c r="A48" s="115"/>
      <c r="B48" s="140" t="s">
        <v>111</v>
      </c>
      <c r="C48" s="244">
        <v>0</v>
      </c>
      <c r="D48" s="239"/>
      <c r="E48" s="118"/>
      <c r="F48" s="5"/>
      <c r="G48" s="5"/>
      <c r="H48" s="85" t="s">
        <v>121</v>
      </c>
      <c r="I48" s="69"/>
      <c r="J48" s="73">
        <f>IF(L48&gt;L47,IF(L47&lt;0,0,L47),IF(L48&lt;0,0,L48))</f>
        <v>0</v>
      </c>
      <c r="K48" s="116"/>
      <c r="L48" s="193">
        <f>SUM((J11+J47)-D18)*0.9</f>
        <v>3848.3910000000001</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89"/>
      <c r="BG48" s="89"/>
    </row>
    <row r="49" spans="1:59" s="6" customFormat="1" ht="20.25" customHeight="1" thickBot="1" x14ac:dyDescent="0.35">
      <c r="A49" s="115"/>
      <c r="B49" s="143" t="s">
        <v>112</v>
      </c>
      <c r="C49" s="245">
        <v>0</v>
      </c>
      <c r="D49" s="241"/>
      <c r="E49" s="118"/>
      <c r="F49" s="5"/>
      <c r="G49" s="5"/>
      <c r="H49" s="103"/>
      <c r="I49" s="103"/>
      <c r="J49" s="111"/>
      <c r="K49" s="116"/>
      <c r="L49" s="194"/>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89"/>
      <c r="BG49" s="89"/>
    </row>
    <row r="50" spans="1:59" s="6" customFormat="1" ht="18.75" customHeight="1" thickBot="1" x14ac:dyDescent="0.4">
      <c r="A50" s="109"/>
      <c r="B50" s="118"/>
      <c r="C50" s="118"/>
      <c r="D50" s="118"/>
      <c r="E50" s="118"/>
      <c r="F50" s="117"/>
      <c r="G50" s="117"/>
      <c r="H50" s="236" t="s">
        <v>115</v>
      </c>
      <c r="I50" s="237"/>
      <c r="J50" s="73">
        <f>IF(SUM(C47*(669.8-61.35),C48*(654.5-61.35),C49*(721-61.35))&lt;50,0,SUM(C47*(669.8-61.35),C48*(654.5-61.35),C49*(721-61.35)))</f>
        <v>0</v>
      </c>
      <c r="K50" s="116"/>
      <c r="L50" s="194"/>
      <c r="M50" s="194"/>
      <c r="N50" s="194"/>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row>
    <row r="51" spans="1:59" s="6" customFormat="1" ht="24" customHeight="1" thickBot="1" x14ac:dyDescent="0.35">
      <c r="A51" s="115"/>
      <c r="B51" s="310" t="s">
        <v>117</v>
      </c>
      <c r="C51" s="311"/>
      <c r="D51" s="312"/>
      <c r="E51" s="104"/>
      <c r="F51" s="117"/>
      <c r="G51" s="117"/>
      <c r="H51" s="118"/>
      <c r="I51" s="118"/>
      <c r="J51" s="118"/>
      <c r="K51" s="116"/>
    </row>
    <row r="52" spans="1:59" s="6" customFormat="1" ht="18.75" customHeight="1" thickBot="1" x14ac:dyDescent="0.4">
      <c r="A52" s="115"/>
      <c r="B52" s="313"/>
      <c r="C52" s="314"/>
      <c r="D52" s="315"/>
      <c r="E52" s="104"/>
      <c r="F52" s="117"/>
      <c r="G52" s="117"/>
      <c r="H52" s="183" t="s">
        <v>31</v>
      </c>
      <c r="I52" s="144"/>
      <c r="J52" s="198">
        <f>SUM(J9,J14,J17,J18,J43,J48,J50)</f>
        <v>5275.9009999999998</v>
      </c>
      <c r="K52" s="116"/>
    </row>
    <row r="53" spans="1:59" s="6" customFormat="1" ht="19.5" customHeight="1" x14ac:dyDescent="0.3">
      <c r="A53" s="115"/>
      <c r="B53" s="313"/>
      <c r="C53" s="314"/>
      <c r="D53" s="315"/>
      <c r="E53" s="104"/>
      <c r="F53" s="117"/>
      <c r="G53" s="117"/>
      <c r="H53" s="319" t="s">
        <v>171</v>
      </c>
      <c r="I53" s="320"/>
      <c r="J53" s="135">
        <f>SUM(C7*20.5,C19*20.45,C24*25,C27*3.66,C33*35.04)</f>
        <v>6703.5</v>
      </c>
      <c r="K53" s="116"/>
    </row>
    <row r="54" spans="1:59" s="6" customFormat="1" ht="19.5" customHeight="1" thickBot="1" x14ac:dyDescent="0.35">
      <c r="A54" s="115"/>
      <c r="B54" s="313"/>
      <c r="C54" s="314"/>
      <c r="D54" s="315"/>
      <c r="E54" s="104"/>
      <c r="F54" s="117"/>
      <c r="G54" s="117"/>
      <c r="H54" s="321" t="s">
        <v>51</v>
      </c>
      <c r="I54" s="322"/>
      <c r="J54" s="91">
        <f>J53-J52+J50</f>
        <v>1427.5990000000002</v>
      </c>
      <c r="K54" s="116"/>
    </row>
    <row r="55" spans="1:59" s="6" customFormat="1" ht="21" customHeight="1" thickBot="1" x14ac:dyDescent="0.35">
      <c r="A55" s="115"/>
      <c r="B55" s="313"/>
      <c r="C55" s="314"/>
      <c r="D55" s="315"/>
      <c r="E55" s="104"/>
      <c r="F55" s="117"/>
      <c r="G55" s="117"/>
      <c r="H55" s="104"/>
      <c r="I55" s="104"/>
      <c r="J55" s="104"/>
      <c r="K55" s="116"/>
    </row>
    <row r="56" spans="1:59" s="6" customFormat="1" ht="24.75" customHeight="1" x14ac:dyDescent="0.3">
      <c r="A56" s="115"/>
      <c r="B56" s="313"/>
      <c r="C56" s="314"/>
      <c r="D56" s="315"/>
      <c r="E56" s="104"/>
      <c r="F56" s="104"/>
      <c r="G56" s="104"/>
      <c r="H56" s="323" t="s">
        <v>83</v>
      </c>
      <c r="I56" s="324"/>
      <c r="J56" s="325"/>
      <c r="K56" s="116"/>
    </row>
    <row r="57" spans="1:59" s="6" customFormat="1" ht="24.75" customHeight="1" x14ac:dyDescent="0.3">
      <c r="A57" s="115"/>
      <c r="B57" s="313"/>
      <c r="C57" s="314"/>
      <c r="D57" s="315"/>
      <c r="E57" s="104"/>
      <c r="F57" s="104"/>
      <c r="G57" s="104"/>
      <c r="H57" s="326"/>
      <c r="I57" s="327"/>
      <c r="J57" s="328"/>
      <c r="K57" s="116"/>
    </row>
    <row r="58" spans="1:59" s="6" customFormat="1" ht="24" customHeight="1" thickBot="1" x14ac:dyDescent="0.35">
      <c r="A58" s="115"/>
      <c r="B58" s="316"/>
      <c r="C58" s="317"/>
      <c r="D58" s="318"/>
      <c r="E58" s="104"/>
      <c r="F58" s="117"/>
      <c r="G58" s="117"/>
      <c r="H58" s="329"/>
      <c r="I58" s="330"/>
      <c r="J58" s="331"/>
      <c r="K58" s="116"/>
    </row>
    <row r="59" spans="1:59" s="6" customFormat="1" ht="16.5" customHeight="1" thickBot="1" x14ac:dyDescent="0.35">
      <c r="A59" s="115"/>
      <c r="B59" s="104"/>
      <c r="C59" s="104"/>
      <c r="D59" s="104"/>
      <c r="E59" s="104"/>
      <c r="F59" s="117"/>
      <c r="G59" s="117"/>
      <c r="H59" s="104"/>
      <c r="I59" s="104"/>
      <c r="J59" s="104"/>
      <c r="K59" s="116"/>
    </row>
    <row r="60" spans="1:59" s="6" customFormat="1" ht="183.75" customHeight="1" thickBot="1" x14ac:dyDescent="0.35">
      <c r="A60" s="115"/>
      <c r="B60" s="332" t="s">
        <v>180</v>
      </c>
      <c r="C60" s="333"/>
      <c r="D60" s="334"/>
      <c r="E60" s="104"/>
      <c r="F60" s="117"/>
      <c r="G60" s="117"/>
      <c r="H60" s="335" t="s">
        <v>178</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82"/>
      <c r="D62" s="282"/>
      <c r="E62" s="9"/>
      <c r="F62" s="7"/>
      <c r="G62" s="7"/>
      <c r="H62" s="7"/>
      <c r="I62" s="7"/>
      <c r="J62" s="7"/>
      <c r="K62" s="9"/>
    </row>
    <row r="63" spans="1:59" s="6" customFormat="1" ht="13" x14ac:dyDescent="0.3">
      <c r="A63" s="9"/>
      <c r="B63" s="282"/>
      <c r="C63" s="282"/>
      <c r="D63" s="282"/>
      <c r="E63" s="9"/>
      <c r="F63" s="7"/>
      <c r="G63" s="7"/>
      <c r="H63" s="7"/>
      <c r="I63" s="7"/>
      <c r="J63" s="7"/>
      <c r="K63" s="9"/>
    </row>
    <row r="64" spans="1:59" s="6" customFormat="1" ht="17.25" customHeight="1" x14ac:dyDescent="0.3">
      <c r="A64" s="9"/>
      <c r="B64" s="158"/>
      <c r="C64" s="282"/>
      <c r="D64" s="282"/>
      <c r="E64" s="9"/>
      <c r="F64" s="7"/>
      <c r="G64" s="7"/>
      <c r="H64" s="7"/>
      <c r="I64" s="7"/>
      <c r="J64" s="7"/>
      <c r="K64" s="9"/>
    </row>
    <row r="65" spans="1:11" s="6" customFormat="1" ht="13" x14ac:dyDescent="0.3">
      <c r="A65" s="9"/>
      <c r="B65" s="282"/>
      <c r="C65" s="282"/>
      <c r="D65" s="282"/>
      <c r="E65" s="9"/>
      <c r="F65" s="7"/>
      <c r="G65" s="7"/>
      <c r="H65" s="7"/>
      <c r="I65" s="7"/>
      <c r="J65" s="7"/>
      <c r="K65" s="9"/>
    </row>
    <row r="66" spans="1:11" s="6" customFormat="1" ht="13" x14ac:dyDescent="0.3">
      <c r="A66" s="9"/>
      <c r="B66" s="282"/>
      <c r="C66" s="282"/>
      <c r="D66" s="282"/>
      <c r="E66" s="9"/>
      <c r="F66" s="7"/>
      <c r="G66" s="7"/>
      <c r="H66" s="306"/>
      <c r="I66" s="307"/>
      <c r="J66" s="307"/>
      <c r="K66" s="9"/>
    </row>
    <row r="67" spans="1:11" s="6" customFormat="1" ht="13" x14ac:dyDescent="0.3">
      <c r="A67" s="9"/>
      <c r="B67" s="282"/>
      <c r="C67" s="282"/>
      <c r="D67" s="282"/>
      <c r="E67" s="9"/>
      <c r="F67" s="7"/>
      <c r="G67" s="7"/>
      <c r="H67" s="307"/>
      <c r="I67" s="307"/>
      <c r="J67" s="307"/>
      <c r="K67" s="9"/>
    </row>
    <row r="68" spans="1:11" s="6" customFormat="1" x14ac:dyDescent="0.25">
      <c r="A68" s="8"/>
      <c r="B68" s="282"/>
      <c r="C68" s="282"/>
      <c r="D68" s="282"/>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password="C6AA" sheet="1" formatCells="0" formatColumns="0" formatRows="0" insertColumns="0" insertRows="0" insertHyperlinks="0" deleteColumns="0" deleteRows="0" sort="0" autoFilter="0" pivotTables="0"/>
  <mergeCells count="14">
    <mergeCell ref="H66:J82"/>
    <mergeCell ref="B41:B42"/>
    <mergeCell ref="B51:D58"/>
    <mergeCell ref="H53:I53"/>
    <mergeCell ref="H54:I54"/>
    <mergeCell ref="H56:J58"/>
    <mergeCell ref="B60:D60"/>
    <mergeCell ref="H60:J60"/>
    <mergeCell ref="B40:D40"/>
    <mergeCell ref="B2:J2"/>
    <mergeCell ref="B5:B6"/>
    <mergeCell ref="C5:C6"/>
    <mergeCell ref="D5:D6"/>
    <mergeCell ref="D19:D38"/>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A227"/>
  <sheetViews>
    <sheetView zoomScaleNormal="100" workbookViewId="0">
      <selection activeCell="B2" sqref="B2:D2"/>
    </sheetView>
  </sheetViews>
  <sheetFormatPr baseColWidth="10" defaultRowHeight="12.5" x14ac:dyDescent="0.25"/>
  <cols>
    <col min="1" max="1" width="2.1796875" style="8" customWidth="1"/>
    <col min="2" max="2" width="76" customWidth="1"/>
    <col min="3" max="4" width="15.81640625" customWidth="1"/>
    <col min="5" max="5" width="3.1796875" style="8" customWidth="1"/>
  </cols>
  <sheetData>
    <row r="1" spans="1:53" ht="58.5" customHeight="1" thickBot="1" x14ac:dyDescent="0.45">
      <c r="A1" s="123"/>
      <c r="B1" s="124"/>
      <c r="C1" s="125"/>
      <c r="D1" s="125"/>
      <c r="E1" s="134"/>
      <c r="F1" s="105"/>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row>
    <row r="2" spans="1:53" ht="102" customHeight="1" thickBot="1" x14ac:dyDescent="0.3">
      <c r="A2" s="107"/>
      <c r="B2" s="358" t="s">
        <v>168</v>
      </c>
      <c r="C2" s="293"/>
      <c r="D2" s="293"/>
      <c r="E2" s="108"/>
      <c r="F2" s="105"/>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row>
    <row r="3" spans="1:53" ht="23.25" customHeight="1" x14ac:dyDescent="0.35">
      <c r="A3" s="109"/>
      <c r="B3" s="363" t="s">
        <v>169</v>
      </c>
      <c r="C3" s="364"/>
      <c r="D3" s="360"/>
      <c r="E3" s="111"/>
      <c r="F3" s="105"/>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row>
    <row r="4" spans="1:53" ht="16" thickBot="1" x14ac:dyDescent="0.4">
      <c r="A4" s="109"/>
      <c r="B4" s="365"/>
      <c r="C4" s="361"/>
      <c r="D4" s="362"/>
      <c r="E4" s="111"/>
      <c r="F4" s="105"/>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row>
    <row r="5" spans="1:53" ht="21" customHeight="1" thickBot="1" x14ac:dyDescent="0.4">
      <c r="A5" s="109"/>
      <c r="B5" s="267" t="s">
        <v>154</v>
      </c>
      <c r="C5" s="272">
        <v>2014</v>
      </c>
      <c r="D5" s="272">
        <v>2015</v>
      </c>
      <c r="E5" s="111"/>
      <c r="F5" s="105"/>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row>
    <row r="6" spans="1:53" ht="23.25" customHeight="1" thickBot="1" x14ac:dyDescent="0.35">
      <c r="A6" s="109"/>
      <c r="B6" s="273" t="s">
        <v>155</v>
      </c>
      <c r="C6" s="275">
        <f>'Vergleichsrechner 2014'!$J$9</f>
        <v>0</v>
      </c>
      <c r="D6" s="274">
        <f>'Ökosteuer 2015'!J9</f>
        <v>0</v>
      </c>
      <c r="E6" s="111"/>
      <c r="F6" s="105"/>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row>
    <row r="7" spans="1:53" ht="20.25" customHeight="1" thickBot="1" x14ac:dyDescent="0.35">
      <c r="A7" s="109"/>
      <c r="B7" s="273" t="s">
        <v>156</v>
      </c>
      <c r="C7" s="275">
        <f>'Vergleichsrechner 2014'!$J$14</f>
        <v>0</v>
      </c>
      <c r="D7" s="274">
        <f>'Ökosteuer 2015'!$J$14</f>
        <v>0</v>
      </c>
      <c r="E7" s="111"/>
      <c r="F7" s="105"/>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row>
    <row r="8" spans="1:53" ht="20.25" customHeight="1" thickBot="1" x14ac:dyDescent="0.35">
      <c r="A8" s="109"/>
      <c r="B8" s="273" t="s">
        <v>157</v>
      </c>
      <c r="C8" s="275">
        <f>'Vergleichsrechner 2014'!$J$17</f>
        <v>0</v>
      </c>
      <c r="D8" s="274">
        <f>'Ökosteuer 2015'!$J$17</f>
        <v>0</v>
      </c>
      <c r="E8" s="111"/>
      <c r="F8" s="105"/>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row>
    <row r="9" spans="1:53" ht="20.25" customHeight="1" thickBot="1" x14ac:dyDescent="0.35">
      <c r="A9" s="109"/>
      <c r="B9" s="273" t="s">
        <v>158</v>
      </c>
      <c r="C9" s="275">
        <f>'Vergleichsrechner 2014'!$J$18</f>
        <v>0</v>
      </c>
      <c r="D9" s="274">
        <f>'Ökosteuer 2015'!$J$18</f>
        <v>0</v>
      </c>
      <c r="E9" s="111"/>
      <c r="F9" s="105"/>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row>
    <row r="10" spans="1:53" ht="19.5" customHeight="1" thickBot="1" x14ac:dyDescent="0.4">
      <c r="A10" s="109"/>
      <c r="B10" s="368"/>
      <c r="C10" s="370"/>
      <c r="D10" s="357"/>
      <c r="E10" s="111"/>
      <c r="F10" s="105"/>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row>
    <row r="11" spans="1:53" ht="19.5" customHeight="1" thickBot="1" x14ac:dyDescent="0.4">
      <c r="A11" s="109"/>
      <c r="B11" s="267" t="s">
        <v>165</v>
      </c>
      <c r="C11" s="272">
        <v>2014</v>
      </c>
      <c r="D11" s="272">
        <v>2015</v>
      </c>
      <c r="E11" s="111"/>
      <c r="F11" s="105" t="s">
        <v>15</v>
      </c>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row>
    <row r="12" spans="1:53" ht="22.5" customHeight="1" thickBot="1" x14ac:dyDescent="0.35">
      <c r="A12" s="109"/>
      <c r="B12" s="273" t="s">
        <v>159</v>
      </c>
      <c r="C12" s="275">
        <f>IF('Vergleichsrechner 2014'!$N$43&lt;0,0,'Vergleichsrechner 2014'!$N$43)</f>
        <v>0</v>
      </c>
      <c r="D12" s="274">
        <f>IF('Ökosteuer 2015'!$N$43&lt;0,0,'Ökosteuer 2015'!$N$43)</f>
        <v>0</v>
      </c>
      <c r="E12" s="111"/>
      <c r="F12" s="105"/>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row>
    <row r="13" spans="1:53" ht="20.25" customHeight="1" thickBot="1" x14ac:dyDescent="0.35">
      <c r="A13" s="109"/>
      <c r="B13" s="273" t="s">
        <v>160</v>
      </c>
      <c r="C13" s="275">
        <f>'Vergleichsrechner 2014'!$J$48</f>
        <v>0</v>
      </c>
      <c r="D13" s="274">
        <f>'Ökosteuer 2015'!$J$48</f>
        <v>0</v>
      </c>
      <c r="E13" s="111"/>
      <c r="F13" s="105"/>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row>
    <row r="14" spans="1:53" ht="20.25" customHeight="1" thickBot="1" x14ac:dyDescent="0.35">
      <c r="A14" s="109"/>
      <c r="B14" s="273" t="s">
        <v>162</v>
      </c>
      <c r="C14" s="275">
        <f>'Vergleichsrechner 2014'!$M$43</f>
        <v>0</v>
      </c>
      <c r="D14" s="274">
        <f>'Ökosteuer 2015'!$M$43</f>
        <v>0</v>
      </c>
      <c r="E14" s="111"/>
      <c r="F14" s="105"/>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row>
    <row r="15" spans="1:53" ht="20.25" customHeight="1" thickBot="1" x14ac:dyDescent="0.35">
      <c r="A15" s="109"/>
      <c r="B15" s="273" t="s">
        <v>161</v>
      </c>
      <c r="C15" s="275">
        <f>'Vergleichsrechner 2014'!$L$43</f>
        <v>0</v>
      </c>
      <c r="D15" s="274">
        <f>'Ökosteuer 2015'!$L$43</f>
        <v>0</v>
      </c>
      <c r="E15" s="111"/>
      <c r="F15" s="105"/>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row>
    <row r="16" spans="1:53" ht="19.5" customHeight="1" thickBot="1" x14ac:dyDescent="0.35">
      <c r="A16" s="109"/>
      <c r="B16" s="273" t="s">
        <v>163</v>
      </c>
      <c r="C16" s="275">
        <f>'Vergleichsrechner 2014'!$J$50</f>
        <v>0</v>
      </c>
      <c r="D16" s="274">
        <f>'Ökosteuer 2015'!$J$50</f>
        <v>0</v>
      </c>
      <c r="E16" s="114"/>
      <c r="F16" s="105" t="e">
        <f>IF(#REF!&gt;19.5,19.5,#REF!)</f>
        <v>#REF!</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row>
    <row r="17" spans="1:53" s="6" customFormat="1" ht="16.5" customHeight="1" thickBot="1" x14ac:dyDescent="0.35">
      <c r="A17" s="115"/>
      <c r="B17" s="104"/>
      <c r="C17" s="104"/>
      <c r="D17" s="104"/>
      <c r="E17" s="116"/>
    </row>
    <row r="18" spans="1:53" ht="19.5" customHeight="1" thickBot="1" x14ac:dyDescent="0.4">
      <c r="A18" s="109"/>
      <c r="B18" s="83" t="s">
        <v>170</v>
      </c>
      <c r="C18" s="276">
        <f>SUM(C6:C9,C12:C16)</f>
        <v>0</v>
      </c>
      <c r="D18" s="277">
        <f>SUM(D6:D9,D12:D16)</f>
        <v>0</v>
      </c>
      <c r="E18" s="114"/>
      <c r="F18" s="105" t="e">
        <f>IF(#REF!&gt;19.5,19.5,#REF!)</f>
        <v>#REF!</v>
      </c>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row>
    <row r="19" spans="1:53" s="6" customFormat="1" ht="16.5" customHeight="1" thickBot="1" x14ac:dyDescent="0.35">
      <c r="A19" s="115"/>
      <c r="B19" s="104"/>
      <c r="C19" s="104"/>
      <c r="D19" s="104"/>
      <c r="E19" s="116"/>
    </row>
    <row r="20" spans="1:53" ht="19.5" customHeight="1" thickBot="1" x14ac:dyDescent="0.4">
      <c r="A20" s="109"/>
      <c r="B20" s="356" t="s">
        <v>167</v>
      </c>
      <c r="C20" s="369"/>
      <c r="D20" s="276">
        <f>SUM(D18-C18)</f>
        <v>0</v>
      </c>
      <c r="E20" s="114"/>
      <c r="F20" s="105" t="e">
        <f>IF(#REF!&gt;19.5,19.5,#REF!)</f>
        <v>#REF!</v>
      </c>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row>
    <row r="21" spans="1:53" s="6" customFormat="1" ht="16.5" customHeight="1" thickBot="1" x14ac:dyDescent="0.35">
      <c r="A21" s="115"/>
      <c r="B21" s="104"/>
      <c r="C21" s="104"/>
      <c r="D21" s="104"/>
      <c r="E21" s="116"/>
    </row>
    <row r="22" spans="1:53" s="6" customFormat="1" ht="103.5" customHeight="1" thickBot="1" x14ac:dyDescent="0.35">
      <c r="A22" s="115"/>
      <c r="B22" s="332" t="s">
        <v>164</v>
      </c>
      <c r="C22" s="334"/>
      <c r="D22" s="104"/>
      <c r="E22" s="116"/>
    </row>
    <row r="23" spans="1:53" s="8" customFormat="1" ht="13.5" thickBot="1" x14ac:dyDescent="0.35">
      <c r="A23" s="119"/>
      <c r="B23" s="121"/>
      <c r="C23" s="121"/>
      <c r="D23" s="121"/>
      <c r="E23" s="122"/>
    </row>
    <row r="24" spans="1:53" s="6" customFormat="1" ht="6.75" customHeight="1" x14ac:dyDescent="0.3">
      <c r="A24" s="9"/>
      <c r="B24" s="158"/>
      <c r="C24" s="265"/>
      <c r="D24" s="265"/>
      <c r="E24" s="9"/>
    </row>
    <row r="25" spans="1:53" s="6" customFormat="1" ht="13" x14ac:dyDescent="0.3">
      <c r="A25" s="9"/>
      <c r="B25" s="265"/>
      <c r="C25" s="265"/>
      <c r="D25" s="265"/>
      <c r="E25" s="9"/>
    </row>
    <row r="26" spans="1:53" s="6" customFormat="1" ht="17.25" customHeight="1" x14ac:dyDescent="0.3">
      <c r="A26" s="9"/>
      <c r="B26" s="158"/>
      <c r="C26" s="265"/>
      <c r="D26" s="265"/>
      <c r="E26" s="9"/>
    </row>
    <row r="27" spans="1:53" s="6" customFormat="1" ht="13" x14ac:dyDescent="0.3">
      <c r="A27" s="9"/>
      <c r="B27" s="265"/>
      <c r="C27" s="265"/>
      <c r="D27" s="265"/>
      <c r="E27" s="9"/>
    </row>
    <row r="28" spans="1:53" s="6" customFormat="1" ht="13" x14ac:dyDescent="0.3">
      <c r="A28" s="9"/>
      <c r="B28" s="265"/>
      <c r="C28" s="265"/>
      <c r="D28" s="265"/>
      <c r="E28" s="9"/>
    </row>
    <row r="29" spans="1:53" s="6" customFormat="1" ht="13" x14ac:dyDescent="0.3">
      <c r="A29" s="9"/>
      <c r="B29" s="265"/>
      <c r="C29" s="265"/>
      <c r="D29" s="265"/>
      <c r="E29" s="9"/>
    </row>
    <row r="30" spans="1:53" s="6" customFormat="1" x14ac:dyDescent="0.25">
      <c r="A30" s="8"/>
      <c r="B30" s="265"/>
      <c r="C30" s="265"/>
      <c r="D30" s="265"/>
    </row>
    <row r="31" spans="1:53" s="6" customFormat="1" x14ac:dyDescent="0.25"/>
    <row r="32" spans="1:53"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sheetData>
  <sheetProtection password="C6AA" sheet="1" formatCells="0" formatColumns="0" formatRows="0" insertColumns="0" insertRows="0" insertHyperlinks="0" deleteColumns="0" deleteRows="0" sort="0" autoFilter="0" pivotTables="0"/>
  <mergeCells count="6">
    <mergeCell ref="B22:C22"/>
    <mergeCell ref="B2:D2"/>
    <mergeCell ref="B20:C20"/>
    <mergeCell ref="B10:D10"/>
    <mergeCell ref="B3:D3"/>
    <mergeCell ref="B4:D4"/>
  </mergeCells>
  <pageMargins left="0.43307086614173229" right="0.43307086614173229" top="0.98425196850393704" bottom="0.98425196850393704" header="0.51181102362204722" footer="0.51181102362204722"/>
  <pageSetup paperSize="9" scale="70" orientation="portrait" r:id="rId1"/>
  <headerFooter alignWithMargins="0"/>
  <ignoredErrors>
    <ignoredError sqref="F16 F18 F20" evalError="1"/>
  </ignoredError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6B531"/>
  </sheetPr>
  <dimension ref="A1:BG265"/>
  <sheetViews>
    <sheetView topLeftCell="A25" zoomScaleNormal="100" workbookViewId="0">
      <selection activeCell="B2" sqref="B2:J2"/>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3.75" customHeight="1" thickBot="1" x14ac:dyDescent="0.3">
      <c r="A2" s="107"/>
      <c r="B2" s="292" t="s">
        <v>142</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14" t="s">
        <v>3</v>
      </c>
      <c r="C5" s="15" t="s">
        <v>4</v>
      </c>
      <c r="D5" s="71"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16"/>
      <c r="C6" s="17"/>
      <c r="D6" s="72"/>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v>0</v>
      </c>
      <c r="D7" s="21"/>
      <c r="E7" s="103"/>
      <c r="F7" s="42"/>
      <c r="G7" s="112"/>
      <c r="H7" s="80" t="s">
        <v>43</v>
      </c>
      <c r="I7" s="79" t="s">
        <v>52</v>
      </c>
      <c r="J7" s="25">
        <f>PRODUCT($C$10,5.13)</f>
        <v>0</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v>0</v>
      </c>
      <c r="D8" s="22"/>
      <c r="E8" s="103"/>
      <c r="F8" s="42"/>
      <c r="G8" s="112"/>
      <c r="H8" s="82" t="s">
        <v>44</v>
      </c>
      <c r="I8" s="36" t="s">
        <v>53</v>
      </c>
      <c r="J8" s="26">
        <v>250</v>
      </c>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v>0</v>
      </c>
      <c r="D9" s="22"/>
      <c r="E9" s="103"/>
      <c r="F9" s="42"/>
      <c r="G9" s="112"/>
      <c r="H9" s="83" t="s">
        <v>45</v>
      </c>
      <c r="I9" s="51"/>
      <c r="J9" s="73">
        <f>IF(J7&lt;250.01,0,SUM(J7,-J8))</f>
        <v>0</v>
      </c>
      <c r="K9" s="114"/>
      <c r="L9" s="105">
        <f>IF(C13&gt;19.5,19.5,C13)</f>
        <v>18.899999999999999</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0</v>
      </c>
      <c r="D10" s="23"/>
      <c r="E10" s="103"/>
      <c r="F10" s="42"/>
      <c r="G10" s="112"/>
      <c r="H10" s="80" t="s">
        <v>46</v>
      </c>
      <c r="I10" s="79"/>
      <c r="J10" s="25">
        <f>IF($C$10&lt;48.732943,PRODUCT($C$10,20.5),(PRODUCT($C$10,20.5)-J9))</f>
        <v>0</v>
      </c>
      <c r="K10" s="114"/>
      <c r="L10" s="105">
        <f>IF(C16&gt;25.9,25.9,C16)</f>
        <v>25.1</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v>0</v>
      </c>
      <c r="D11" s="61">
        <f>(C11*D13)/(C13)</f>
        <v>0</v>
      </c>
      <c r="E11" s="103"/>
      <c r="F11" s="42"/>
      <c r="G11" s="112"/>
      <c r="H11" s="27" t="s">
        <v>60</v>
      </c>
      <c r="I11" s="28"/>
      <c r="J11" s="29">
        <f>IF(J10&lt;1000,0,SUM(J10,-1000))</f>
        <v>0</v>
      </c>
      <c r="K11" s="114"/>
      <c r="L11" s="105">
        <f>IF(C17&gt;16.15,16.15,C17)</f>
        <v>15.65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88" t="s">
        <v>148</v>
      </c>
      <c r="C13" s="60">
        <v>18.899999999999999</v>
      </c>
      <c r="D13" s="63">
        <f>L9</f>
        <v>18.899999999999999</v>
      </c>
      <c r="E13" s="103"/>
      <c r="F13" s="42"/>
      <c r="G13" s="112"/>
      <c r="H13" s="30" t="s">
        <v>11</v>
      </c>
      <c r="I13" s="31"/>
      <c r="J13" s="32">
        <f>J11-D18</f>
        <v>0</v>
      </c>
      <c r="K13" s="114"/>
      <c r="L13" s="105">
        <f>J11*0.9</f>
        <v>0</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v>0</v>
      </c>
      <c r="D14" s="62">
        <f>(C14*D17)/(C17)</f>
        <v>0</v>
      </c>
      <c r="E14" s="103"/>
      <c r="F14" s="42"/>
      <c r="G14" s="112"/>
      <c r="H14" s="50" t="s">
        <v>122</v>
      </c>
      <c r="I14" s="51"/>
      <c r="J14" s="73">
        <f>IF(L15&lt;0,0,L15)</f>
        <v>0</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4">
        <v>0</v>
      </c>
      <c r="D15" s="62">
        <f>(C15*D16)/(C16)</f>
        <v>0</v>
      </c>
      <c r="E15" s="103"/>
      <c r="F15" s="42"/>
      <c r="G15" s="112"/>
      <c r="H15" s="74" t="s">
        <v>1</v>
      </c>
      <c r="I15" s="75"/>
      <c r="J15" s="34">
        <f>(C10*20.5)-J9-J14</f>
        <v>0</v>
      </c>
      <c r="K15" s="114"/>
      <c r="L15" s="105">
        <f>J13*0.9</f>
        <v>0</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88" t="s">
        <v>149</v>
      </c>
      <c r="C16" s="93">
        <v>25.1</v>
      </c>
      <c r="D16" s="63">
        <f>L10</f>
        <v>25.1</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88" t="s">
        <v>150</v>
      </c>
      <c r="C17" s="65">
        <v>15.65</v>
      </c>
      <c r="D17" s="64">
        <f>L11</f>
        <v>15.65</v>
      </c>
      <c r="E17" s="103"/>
      <c r="F17" s="42"/>
      <c r="G17" s="112"/>
      <c r="H17" s="52" t="s">
        <v>30</v>
      </c>
      <c r="I17" s="53"/>
      <c r="J17" s="73">
        <f>C8*20.5</f>
        <v>0</v>
      </c>
      <c r="K17" s="114"/>
      <c r="L17" s="105">
        <f>IF(L15&lt;L13,L15,L13)</f>
        <v>0</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138" t="s">
        <v>36</v>
      </c>
      <c r="C19" s="148">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149">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150">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100</v>
      </c>
      <c r="C22" s="150">
        <v>0</v>
      </c>
      <c r="D22" s="303"/>
      <c r="E22" s="103"/>
      <c r="F22" s="42"/>
      <c r="G22" s="112"/>
      <c r="H22" s="165"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66</v>
      </c>
      <c r="C23" s="151">
        <v>0</v>
      </c>
      <c r="D23" s="303"/>
      <c r="E23" s="103"/>
      <c r="F23" s="42"/>
      <c r="G23" s="112"/>
      <c r="H23" s="82"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138" t="s">
        <v>137</v>
      </c>
      <c r="C24" s="176">
        <v>0</v>
      </c>
      <c r="D24" s="303"/>
      <c r="E24" s="103"/>
      <c r="F24" s="42"/>
      <c r="G24" s="112"/>
      <c r="H24" s="82"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56" t="s">
        <v>125</v>
      </c>
      <c r="C25" s="243">
        <v>0</v>
      </c>
      <c r="D25" s="303"/>
      <c r="E25" s="103"/>
      <c r="F25" s="42"/>
      <c r="G25" s="112"/>
      <c r="H25" s="82" t="s">
        <v>67</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2" t="s">
        <v>82</v>
      </c>
      <c r="C26" s="260">
        <v>0</v>
      </c>
      <c r="D26" s="303"/>
      <c r="E26" s="103"/>
      <c r="F26" s="42"/>
      <c r="G26" s="112"/>
      <c r="H26" s="82" t="s">
        <v>68</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38" t="s">
        <v>8</v>
      </c>
      <c r="C27" s="2">
        <v>0</v>
      </c>
      <c r="D27" s="303"/>
      <c r="E27" s="103"/>
      <c r="F27" s="42"/>
      <c r="G27" s="112"/>
      <c r="H27" s="82" t="s">
        <v>71</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39" t="s">
        <v>18</v>
      </c>
      <c r="C28" s="188">
        <v>0</v>
      </c>
      <c r="D28" s="303"/>
      <c r="E28" s="103"/>
      <c r="F28" s="42"/>
      <c r="G28" s="112"/>
      <c r="H28" s="82" t="s">
        <v>133</v>
      </c>
      <c r="I28" s="36" t="s">
        <v>123</v>
      </c>
      <c r="J28" s="168">
        <f>PRODUCT(C25,10)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v>0</v>
      </c>
      <c r="D29" s="303"/>
      <c r="E29" s="103"/>
      <c r="F29" s="42"/>
      <c r="G29" s="112"/>
      <c r="H29" s="82" t="s">
        <v>134</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100</v>
      </c>
      <c r="C30" s="154">
        <v>0</v>
      </c>
      <c r="D30" s="303"/>
      <c r="E30" s="103"/>
      <c r="F30" s="42"/>
      <c r="G30" s="112"/>
      <c r="H30" s="166"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1" t="s">
        <v>81</v>
      </c>
      <c r="C31" s="154">
        <v>0</v>
      </c>
      <c r="D31" s="303"/>
      <c r="E31" s="103"/>
      <c r="F31" s="42"/>
      <c r="G31" s="112"/>
      <c r="H31" s="82" t="s">
        <v>22</v>
      </c>
      <c r="I31" s="171" t="s">
        <v>34</v>
      </c>
      <c r="J31" s="168">
        <f>PRODUCT(C28,5.5)</f>
        <v>0</v>
      </c>
      <c r="K31" s="111"/>
      <c r="L31" s="105"/>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3" t="s">
        <v>82</v>
      </c>
      <c r="C32" s="155">
        <v>0</v>
      </c>
      <c r="D32" s="303"/>
      <c r="E32" s="103"/>
      <c r="F32" s="42"/>
      <c r="G32" s="112"/>
      <c r="H32" s="82"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38" t="s">
        <v>9</v>
      </c>
      <c r="C33" s="190">
        <v>0</v>
      </c>
      <c r="D33" s="304"/>
      <c r="E33" s="103"/>
      <c r="F33" s="42"/>
      <c r="G33" s="112"/>
      <c r="H33" s="82" t="s">
        <v>72</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9">
        <v>0</v>
      </c>
      <c r="D34" s="304"/>
      <c r="E34" s="103"/>
      <c r="F34" s="42"/>
      <c r="G34" s="112"/>
      <c r="H34" s="82" t="s">
        <v>78</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2">
        <v>0</v>
      </c>
      <c r="D35" s="304"/>
      <c r="E35" s="103"/>
      <c r="F35" s="42"/>
      <c r="G35" s="112"/>
      <c r="H35" s="82" t="s">
        <v>79</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100</v>
      </c>
      <c r="C36" s="152">
        <v>0</v>
      </c>
      <c r="D36" s="304"/>
      <c r="E36" s="103"/>
      <c r="F36" s="10"/>
      <c r="G36" s="10"/>
      <c r="H36" s="166"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85</v>
      </c>
      <c r="C37" s="152">
        <v>0</v>
      </c>
      <c r="D37" s="304"/>
      <c r="E37" s="103"/>
      <c r="F37" s="42"/>
      <c r="G37" s="112"/>
      <c r="H37" s="82"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3" t="s">
        <v>82</v>
      </c>
      <c r="C38" s="153">
        <v>0</v>
      </c>
      <c r="D38" s="305"/>
      <c r="E38" s="103"/>
      <c r="F38" s="42"/>
      <c r="G38" s="112"/>
      <c r="H38" s="82"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09"/>
      <c r="B39" s="118"/>
      <c r="C39" s="118"/>
      <c r="D39" s="118"/>
      <c r="E39" s="103"/>
      <c r="F39" s="42"/>
      <c r="G39" s="112"/>
      <c r="H39" s="82" t="s">
        <v>74</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09"/>
      <c r="B40" s="289" t="s">
        <v>119</v>
      </c>
      <c r="C40" s="290"/>
      <c r="D40" s="291"/>
      <c r="E40" s="103"/>
      <c r="F40" s="42"/>
      <c r="G40" s="112"/>
      <c r="H40" s="82" t="s">
        <v>75</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7" customHeight="1" thickBot="1" x14ac:dyDescent="0.3">
      <c r="A41" s="109"/>
      <c r="B41" s="308" t="s">
        <v>120</v>
      </c>
      <c r="C41" s="259" t="s">
        <v>118</v>
      </c>
      <c r="D41" s="258"/>
      <c r="E41" s="103"/>
      <c r="F41" s="10"/>
      <c r="G41" s="10"/>
      <c r="H41" s="82" t="s">
        <v>76</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1" customHeight="1" thickBot="1" x14ac:dyDescent="0.35">
      <c r="A42" s="109"/>
      <c r="B42" s="309"/>
      <c r="C42" s="250">
        <f>SUM(C47:C49)</f>
        <v>0</v>
      </c>
      <c r="D42" s="257" t="s">
        <v>114</v>
      </c>
      <c r="E42" s="103"/>
      <c r="F42" s="42"/>
      <c r="G42" s="42"/>
      <c r="H42" s="167" t="s">
        <v>5</v>
      </c>
      <c r="I42" s="172"/>
      <c r="J42" s="170">
        <v>-250</v>
      </c>
      <c r="K42" s="111"/>
      <c r="L42" s="270">
        <v>51</v>
      </c>
      <c r="M42" s="270">
        <v>53</v>
      </c>
      <c r="N42" s="270">
        <v>54</v>
      </c>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175" t="s">
        <v>86</v>
      </c>
      <c r="I43" s="163"/>
      <c r="J43" s="164">
        <f>IF(SUM(J22,J30,J36)&gt;250,SUM(J22:J42),SUM(J23:J29,J31:J35,J37:J41))</f>
        <v>0</v>
      </c>
      <c r="K43" s="111"/>
      <c r="L43" s="271">
        <f>SUM(J23,J31,J37)</f>
        <v>0</v>
      </c>
      <c r="M43" s="271">
        <f>SUM(J24:J29,J32:J35,J38:J41)</f>
        <v>0</v>
      </c>
      <c r="N43" s="271">
        <f>SUM(J22,J30,J36,J42)</f>
        <v>-250</v>
      </c>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91"/>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87"/>
      <c r="BG46" s="87"/>
    </row>
    <row r="47" spans="1:59" s="6" customFormat="1" ht="20.25" customHeight="1" thickBot="1" x14ac:dyDescent="0.35">
      <c r="A47" s="115"/>
      <c r="B47" s="156" t="s">
        <v>110</v>
      </c>
      <c r="C47" s="243">
        <v>0</v>
      </c>
      <c r="D47" s="240"/>
      <c r="E47" s="104"/>
      <c r="F47" s="5"/>
      <c r="G47" s="5"/>
      <c r="H47" s="33" t="s">
        <v>47</v>
      </c>
      <c r="I47" s="39"/>
      <c r="J47" s="40">
        <f>IF(SUM(PRODUCT(SUM(C19,-C20,-C21,-C22,-C23),5.11),PRODUCT(SUM(C27,-C28,-C29,-C30,-C31,-C32),2.28),PRODUCT(SUM(C33,-C34,-C35,-C36,-C37,-C38),19.89),-750)&lt;0,0,SUM(PRODUCT(SUM(C19,-C20,-C21,-C22,-C23),5.11),PRODUCT(SUM(C27,-C28,-C29,-C30,-C31,-C32),2.28),PRODUCT(SUM(C33,-C34,-C35,-C36,-C37,-C38),19.89),-750))</f>
        <v>0</v>
      </c>
      <c r="K47" s="116"/>
      <c r="L47" s="193">
        <f>J47*0.9</f>
        <v>0</v>
      </c>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05"/>
      <c r="BG47" s="87"/>
    </row>
    <row r="48" spans="1:59" s="6" customFormat="1" ht="23.25" customHeight="1" thickBot="1" x14ac:dyDescent="0.4">
      <c r="A48" s="115"/>
      <c r="B48" s="140" t="s">
        <v>111</v>
      </c>
      <c r="C48" s="244">
        <v>0</v>
      </c>
      <c r="D48" s="239"/>
      <c r="E48" s="118"/>
      <c r="F48" s="5"/>
      <c r="G48" s="5"/>
      <c r="H48" s="85" t="s">
        <v>121</v>
      </c>
      <c r="I48" s="69"/>
      <c r="J48" s="73">
        <f>IF(L48&gt;L47,IF(L47&lt;0,0,L47),IF(L48&lt;0,0,L48))</f>
        <v>0</v>
      </c>
      <c r="K48" s="116"/>
      <c r="L48" s="193">
        <f>SUM((J11+J47)-D18)*0.9</f>
        <v>0</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89"/>
      <c r="BG48" s="89"/>
    </row>
    <row r="49" spans="1:59" s="6" customFormat="1" ht="20.25" customHeight="1" thickBot="1" x14ac:dyDescent="0.35">
      <c r="A49" s="115"/>
      <c r="B49" s="143" t="s">
        <v>112</v>
      </c>
      <c r="C49" s="245">
        <v>0</v>
      </c>
      <c r="D49" s="241"/>
      <c r="E49" s="118"/>
      <c r="F49" s="5"/>
      <c r="G49" s="5"/>
      <c r="H49" s="103"/>
      <c r="I49" s="103"/>
      <c r="J49" s="111"/>
      <c r="K49" s="116"/>
      <c r="L49" s="194"/>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89"/>
      <c r="BG49" s="89"/>
    </row>
    <row r="50" spans="1:59" s="6" customFormat="1" ht="18.75" customHeight="1" thickBot="1" x14ac:dyDescent="0.4">
      <c r="A50" s="109"/>
      <c r="B50" s="118"/>
      <c r="C50" s="118"/>
      <c r="D50" s="118"/>
      <c r="E50" s="118"/>
      <c r="F50" s="117"/>
      <c r="G50" s="117"/>
      <c r="H50" s="236" t="s">
        <v>115</v>
      </c>
      <c r="I50" s="237"/>
      <c r="J50" s="73">
        <f>IF(SUM(C47*(669.8-61.35),C48*(654.5-61.35),C49*(721-61.35))&lt;50,0,SUM(C47*(669.8-61.35),C48*(654.5-61.35),C49*(721-61.35)))</f>
        <v>0</v>
      </c>
      <c r="K50" s="116"/>
      <c r="L50" s="194"/>
      <c r="M50" s="194"/>
      <c r="N50" s="194"/>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row>
    <row r="51" spans="1:59" s="6" customFormat="1" ht="24" customHeight="1" thickBot="1" x14ac:dyDescent="0.35">
      <c r="A51" s="115"/>
      <c r="B51" s="310" t="s">
        <v>117</v>
      </c>
      <c r="C51" s="311"/>
      <c r="D51" s="312"/>
      <c r="E51" s="104"/>
      <c r="F51" s="117"/>
      <c r="G51" s="117"/>
      <c r="H51" s="118"/>
      <c r="I51" s="118"/>
      <c r="J51" s="118"/>
      <c r="K51" s="116"/>
    </row>
    <row r="52" spans="1:59" s="6" customFormat="1" ht="18.75" customHeight="1" thickBot="1" x14ac:dyDescent="0.4">
      <c r="A52" s="115"/>
      <c r="B52" s="313"/>
      <c r="C52" s="314"/>
      <c r="D52" s="315"/>
      <c r="E52" s="104"/>
      <c r="F52" s="117"/>
      <c r="G52" s="117"/>
      <c r="H52" s="183" t="s">
        <v>31</v>
      </c>
      <c r="I52" s="144"/>
      <c r="J52" s="198">
        <f>SUM(J9,J14,J17,J18,J43,J48,J50)</f>
        <v>0</v>
      </c>
      <c r="K52" s="116"/>
    </row>
    <row r="53" spans="1:59" s="6" customFormat="1" ht="19.5" customHeight="1" x14ac:dyDescent="0.3">
      <c r="A53" s="115"/>
      <c r="B53" s="313"/>
      <c r="C53" s="314"/>
      <c r="D53" s="315"/>
      <c r="E53" s="104"/>
      <c r="F53" s="117"/>
      <c r="G53" s="117"/>
      <c r="H53" s="371" t="s">
        <v>143</v>
      </c>
      <c r="I53" s="320"/>
      <c r="J53" s="135">
        <f>SUM(C7*20.5,C19*20.45,C24*25,C27*3.66,C33*35.04)</f>
        <v>0</v>
      </c>
      <c r="K53" s="116"/>
    </row>
    <row r="54" spans="1:59" s="6" customFormat="1" ht="19.5" customHeight="1" thickBot="1" x14ac:dyDescent="0.35">
      <c r="A54" s="115"/>
      <c r="B54" s="313"/>
      <c r="C54" s="314"/>
      <c r="D54" s="315"/>
      <c r="E54" s="104"/>
      <c r="F54" s="117"/>
      <c r="G54" s="117"/>
      <c r="H54" s="321" t="s">
        <v>51</v>
      </c>
      <c r="I54" s="322"/>
      <c r="J54" s="91">
        <f>J53-J52+J50</f>
        <v>0</v>
      </c>
      <c r="K54" s="116"/>
    </row>
    <row r="55" spans="1:59" s="6" customFormat="1" ht="21" customHeight="1" thickBot="1" x14ac:dyDescent="0.35">
      <c r="A55" s="115"/>
      <c r="B55" s="313"/>
      <c r="C55" s="314"/>
      <c r="D55" s="315"/>
      <c r="E55" s="104"/>
      <c r="F55" s="117"/>
      <c r="G55" s="117"/>
      <c r="H55" s="104"/>
      <c r="I55" s="104"/>
      <c r="J55" s="104"/>
      <c r="K55" s="116"/>
    </row>
    <row r="56" spans="1:59" s="6" customFormat="1" ht="24.75" customHeight="1" x14ac:dyDescent="0.3">
      <c r="A56" s="115"/>
      <c r="B56" s="313"/>
      <c r="C56" s="314"/>
      <c r="D56" s="315"/>
      <c r="E56" s="104"/>
      <c r="F56" s="104"/>
      <c r="G56" s="104"/>
      <c r="H56" s="323" t="s">
        <v>83</v>
      </c>
      <c r="I56" s="324"/>
      <c r="J56" s="325"/>
      <c r="K56" s="116"/>
    </row>
    <row r="57" spans="1:59" s="6" customFormat="1" ht="24.75" customHeight="1" x14ac:dyDescent="0.3">
      <c r="A57" s="115"/>
      <c r="B57" s="313"/>
      <c r="C57" s="314"/>
      <c r="D57" s="315"/>
      <c r="E57" s="104"/>
      <c r="F57" s="104"/>
      <c r="G57" s="104"/>
      <c r="H57" s="326"/>
      <c r="I57" s="327"/>
      <c r="J57" s="328"/>
      <c r="K57" s="116"/>
    </row>
    <row r="58" spans="1:59" s="6" customFormat="1" ht="24" customHeight="1" thickBot="1" x14ac:dyDescent="0.35">
      <c r="A58" s="115"/>
      <c r="B58" s="316"/>
      <c r="C58" s="317"/>
      <c r="D58" s="318"/>
      <c r="E58" s="104"/>
      <c r="F58" s="117"/>
      <c r="G58" s="117"/>
      <c r="H58" s="329"/>
      <c r="I58" s="330"/>
      <c r="J58" s="331"/>
      <c r="K58" s="116"/>
    </row>
    <row r="59" spans="1:59" s="6" customFormat="1" ht="16.5" customHeight="1" thickBot="1" x14ac:dyDescent="0.35">
      <c r="A59" s="115"/>
      <c r="B59" s="104"/>
      <c r="C59" s="104"/>
      <c r="D59" s="104"/>
      <c r="E59" s="104"/>
      <c r="F59" s="117"/>
      <c r="G59" s="117"/>
      <c r="H59" s="104"/>
      <c r="I59" s="104"/>
      <c r="J59" s="104"/>
      <c r="K59" s="116"/>
    </row>
    <row r="60" spans="1:59" s="6" customFormat="1" ht="174" customHeight="1" thickBot="1" x14ac:dyDescent="0.35">
      <c r="A60" s="115"/>
      <c r="B60" s="332" t="s">
        <v>151</v>
      </c>
      <c r="C60" s="333"/>
      <c r="D60" s="334"/>
      <c r="E60" s="104"/>
      <c r="F60" s="117"/>
      <c r="G60" s="117"/>
      <c r="H60" s="335" t="s">
        <v>153</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63"/>
      <c r="D62" s="263"/>
      <c r="E62" s="9"/>
      <c r="F62" s="7"/>
      <c r="G62" s="7"/>
      <c r="H62" s="7"/>
      <c r="I62" s="7"/>
      <c r="J62" s="7"/>
      <c r="K62" s="9"/>
    </row>
    <row r="63" spans="1:59" s="6" customFormat="1" ht="13" x14ac:dyDescent="0.3">
      <c r="A63" s="9"/>
      <c r="B63" s="263"/>
      <c r="C63" s="263"/>
      <c r="D63" s="263"/>
      <c r="E63" s="9"/>
      <c r="F63" s="7"/>
      <c r="G63" s="7"/>
      <c r="H63" s="7"/>
      <c r="I63" s="7"/>
      <c r="J63" s="7"/>
      <c r="K63" s="9"/>
    </row>
    <row r="64" spans="1:59" s="6" customFormat="1" ht="17.25" customHeight="1" x14ac:dyDescent="0.3">
      <c r="A64" s="9"/>
      <c r="B64" s="158"/>
      <c r="C64" s="263"/>
      <c r="D64" s="263"/>
      <c r="E64" s="9"/>
      <c r="F64" s="7"/>
      <c r="G64" s="7"/>
      <c r="H64" s="7"/>
      <c r="I64" s="7"/>
      <c r="J64" s="7"/>
      <c r="K64" s="9"/>
    </row>
    <row r="65" spans="1:11" s="6" customFormat="1" ht="13" x14ac:dyDescent="0.3">
      <c r="A65" s="9"/>
      <c r="B65" s="263"/>
      <c r="C65" s="263"/>
      <c r="D65" s="263"/>
      <c r="E65" s="9"/>
      <c r="F65" s="7"/>
      <c r="G65" s="7"/>
      <c r="H65" s="7"/>
      <c r="I65" s="7"/>
      <c r="J65" s="7"/>
      <c r="K65" s="9"/>
    </row>
    <row r="66" spans="1:11" s="6" customFormat="1" ht="13" x14ac:dyDescent="0.3">
      <c r="A66" s="9"/>
      <c r="B66" s="263"/>
      <c r="C66" s="263"/>
      <c r="D66" s="263"/>
      <c r="E66" s="9"/>
      <c r="F66" s="7"/>
      <c r="G66" s="7"/>
      <c r="H66" s="306"/>
      <c r="I66" s="307"/>
      <c r="J66" s="307"/>
      <c r="K66" s="9"/>
    </row>
    <row r="67" spans="1:11" s="6" customFormat="1" ht="13" x14ac:dyDescent="0.3">
      <c r="A67" s="9"/>
      <c r="B67" s="263"/>
      <c r="C67" s="263"/>
      <c r="D67" s="263"/>
      <c r="E67" s="9"/>
      <c r="F67" s="7"/>
      <c r="G67" s="7"/>
      <c r="H67" s="307"/>
      <c r="I67" s="307"/>
      <c r="J67" s="307"/>
      <c r="K67" s="9"/>
    </row>
    <row r="68" spans="1:11" s="6" customFormat="1" x14ac:dyDescent="0.25">
      <c r="A68" s="8"/>
      <c r="B68" s="263"/>
      <c r="C68" s="263"/>
      <c r="D68" s="263"/>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password="C6AA" sheet="1" formatCells="0" formatColumns="0" formatRows="0" insertColumns="0" insertRows="0" insertHyperlinks="0" deleteColumns="0" deleteRows="0" sort="0" autoFilter="0" pivotTables="0"/>
  <mergeCells count="11">
    <mergeCell ref="B60:D60"/>
    <mergeCell ref="H60:J60"/>
    <mergeCell ref="H66:J82"/>
    <mergeCell ref="B2:J2"/>
    <mergeCell ref="D19:D38"/>
    <mergeCell ref="B40:D40"/>
    <mergeCell ref="B41:B42"/>
    <mergeCell ref="B51:D58"/>
    <mergeCell ref="H53:I53"/>
    <mergeCell ref="H54:I54"/>
    <mergeCell ref="H56:J58"/>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sheetPr>
  <dimension ref="A1:BG268"/>
  <sheetViews>
    <sheetView zoomScaleNormal="100" workbookViewId="0">
      <selection activeCell="C7" sqref="C7"/>
    </sheetView>
  </sheetViews>
  <sheetFormatPr baseColWidth="10" defaultRowHeight="12.5" x14ac:dyDescent="0.25"/>
  <cols>
    <col min="1" max="1" width="2.1796875" style="8" customWidth="1"/>
    <col min="2" max="2" width="76" customWidth="1"/>
    <col min="3" max="3" width="18.1796875" customWidth="1"/>
    <col min="4" max="4" width="1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36.75" customHeight="1" thickBot="1" x14ac:dyDescent="0.3">
      <c r="A2" s="107"/>
      <c r="B2" s="100" t="s">
        <v>65</v>
      </c>
      <c r="C2" s="126"/>
      <c r="D2" s="128"/>
      <c r="E2" s="130"/>
      <c r="F2" s="127"/>
      <c r="G2" s="127"/>
      <c r="H2" s="129"/>
      <c r="I2" s="101"/>
      <c r="J2" s="102"/>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14" t="s">
        <v>3</v>
      </c>
      <c r="C5" s="15" t="s">
        <v>4</v>
      </c>
      <c r="D5" s="71"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16"/>
      <c r="C6" s="17"/>
      <c r="D6" s="72"/>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211" t="s">
        <v>10</v>
      </c>
      <c r="C7" s="190">
        <v>0</v>
      </c>
      <c r="D7" s="21"/>
      <c r="E7" s="103"/>
      <c r="F7" s="42"/>
      <c r="G7" s="112"/>
      <c r="H7" s="80" t="s">
        <v>43</v>
      </c>
      <c r="I7" s="79" t="s">
        <v>52</v>
      </c>
      <c r="J7" s="25">
        <f>PRODUCT($C$10,5.13)</f>
        <v>0</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212" t="s">
        <v>29</v>
      </c>
      <c r="C8" s="187">
        <v>0</v>
      </c>
      <c r="D8" s="22"/>
      <c r="E8" s="103"/>
      <c r="F8" s="42"/>
      <c r="G8" s="112"/>
      <c r="H8" s="82" t="s">
        <v>44</v>
      </c>
      <c r="I8" s="36" t="s">
        <v>53</v>
      </c>
      <c r="J8" s="26">
        <v>250</v>
      </c>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212" t="s">
        <v>87</v>
      </c>
      <c r="C9" s="187">
        <v>0</v>
      </c>
      <c r="D9" s="22"/>
      <c r="E9" s="103"/>
      <c r="F9" s="42"/>
      <c r="G9" s="112"/>
      <c r="H9" s="226" t="s">
        <v>45</v>
      </c>
      <c r="I9" s="228"/>
      <c r="J9" s="204">
        <f>IF(J7&lt;250.01,0,SUM(J7,-J8))</f>
        <v>0</v>
      </c>
      <c r="K9" s="114"/>
      <c r="L9" s="105">
        <f>IF(C13&gt;19.5,19.5,C13)</f>
        <v>19.5</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213" t="s">
        <v>50</v>
      </c>
      <c r="C10" s="210">
        <f>C7-C8-C9</f>
        <v>0</v>
      </c>
      <c r="D10" s="23"/>
      <c r="E10" s="103"/>
      <c r="F10" s="42"/>
      <c r="G10" s="112"/>
      <c r="H10" s="230" t="s">
        <v>46</v>
      </c>
      <c r="I10" s="231"/>
      <c r="J10" s="135">
        <f>IF($C$10&lt;48.732943,PRODUCT($C$10,20.5),(PRODUCT($C$10,20.5)-J9))</f>
        <v>0</v>
      </c>
      <c r="K10" s="114"/>
      <c r="L10" s="105">
        <f>IF(C16&gt;25.9,25.9,C16)</f>
        <v>25.9</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221" t="s">
        <v>37</v>
      </c>
      <c r="C11" s="217">
        <v>0</v>
      </c>
      <c r="D11" s="61">
        <f>(C11*D13)/(C13)</f>
        <v>0</v>
      </c>
      <c r="E11" s="103"/>
      <c r="F11" s="42"/>
      <c r="G11" s="112"/>
      <c r="H11" s="227" t="s">
        <v>60</v>
      </c>
      <c r="I11" s="229"/>
      <c r="J11" s="29">
        <f>IF(J10&lt;1000,0,SUM(J10,-1000))</f>
        <v>0</v>
      </c>
      <c r="K11" s="114"/>
      <c r="L11" s="105">
        <f>IF(C17&gt;16.15,16.15,C17)</f>
        <v>16.149999999999999</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222" t="s">
        <v>38</v>
      </c>
      <c r="C12" s="217">
        <v>0</v>
      </c>
      <c r="D12" s="62">
        <f>(C12*D13)/(C13)</f>
        <v>0</v>
      </c>
      <c r="E12" s="103"/>
      <c r="F12" s="42"/>
      <c r="G12" s="112"/>
      <c r="H12" s="76" t="s">
        <v>12</v>
      </c>
      <c r="I12" s="77"/>
      <c r="J12" s="78">
        <f>-D18</f>
        <v>0</v>
      </c>
      <c r="K12" s="114"/>
      <c r="L12" s="105"/>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223" t="s">
        <v>62</v>
      </c>
      <c r="C13" s="60">
        <v>19.600000000000001</v>
      </c>
      <c r="D13" s="63">
        <f>L9</f>
        <v>19.5</v>
      </c>
      <c r="E13" s="103"/>
      <c r="F13" s="42"/>
      <c r="G13" s="112"/>
      <c r="H13" s="30" t="s">
        <v>11</v>
      </c>
      <c r="I13" s="31"/>
      <c r="J13" s="32">
        <f>J11-D18</f>
        <v>0</v>
      </c>
      <c r="K13" s="114"/>
      <c r="L13" s="105"/>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224" t="s">
        <v>39</v>
      </c>
      <c r="C14" s="217">
        <v>0</v>
      </c>
      <c r="D14" s="62">
        <f>(C14*D17)/(C17)</f>
        <v>0</v>
      </c>
      <c r="E14" s="103"/>
      <c r="F14" s="42"/>
      <c r="G14" s="112"/>
      <c r="H14" s="83" t="s">
        <v>122</v>
      </c>
      <c r="I14" s="51"/>
      <c r="J14" s="73">
        <f>IF(L15&lt;0,0,L15)</f>
        <v>0</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222" t="s">
        <v>40</v>
      </c>
      <c r="C15" s="218">
        <v>0</v>
      </c>
      <c r="D15" s="62">
        <f>(C15*D16)/(C16)</f>
        <v>0</v>
      </c>
      <c r="E15" s="103"/>
      <c r="F15" s="42"/>
      <c r="G15" s="112"/>
      <c r="H15" s="74" t="s">
        <v>1</v>
      </c>
      <c r="I15" s="75"/>
      <c r="J15" s="34">
        <f>(C10*20.5)-J9-J14</f>
        <v>0</v>
      </c>
      <c r="K15" s="114"/>
      <c r="L15" s="105">
        <f>J13*0.9</f>
        <v>0</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223" t="s">
        <v>63</v>
      </c>
      <c r="C16" s="93">
        <v>26</v>
      </c>
      <c r="D16" s="63">
        <f>L10</f>
        <v>25.9</v>
      </c>
      <c r="E16" s="103"/>
      <c r="F16" s="42"/>
      <c r="G16" s="42"/>
      <c r="H16" s="103"/>
      <c r="I16" s="103"/>
      <c r="J16" s="103"/>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223" t="s">
        <v>64</v>
      </c>
      <c r="C17" s="219">
        <v>16.2</v>
      </c>
      <c r="D17" s="64">
        <f>L11</f>
        <v>16.149999999999999</v>
      </c>
      <c r="E17" s="103"/>
      <c r="F17" s="42"/>
      <c r="G17" s="112"/>
      <c r="H17" s="52" t="s">
        <v>30</v>
      </c>
      <c r="I17" s="53"/>
      <c r="J17" s="73">
        <f>C8*20.5</f>
        <v>0</v>
      </c>
      <c r="K17" s="114"/>
      <c r="L17" s="105">
        <f>IF(L15&lt;L13,L15,L13)</f>
        <v>0</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225" t="s">
        <v>14</v>
      </c>
      <c r="C18" s="220"/>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211" t="s">
        <v>36</v>
      </c>
      <c r="C19" s="190">
        <v>0</v>
      </c>
      <c r="D19" s="184"/>
      <c r="E19" s="103"/>
      <c r="F19" s="42"/>
      <c r="G19" s="42"/>
      <c r="H19" s="103"/>
      <c r="I19" s="103"/>
      <c r="J19" s="103"/>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thickBot="1" x14ac:dyDescent="0.35">
      <c r="A20" s="109"/>
      <c r="B20" s="140" t="s">
        <v>18</v>
      </c>
      <c r="C20" s="187">
        <v>0</v>
      </c>
      <c r="D20" s="185"/>
      <c r="E20" s="103"/>
      <c r="F20" s="42"/>
      <c r="G20" s="42"/>
      <c r="H20" s="103"/>
      <c r="I20" s="103"/>
      <c r="J20" s="103"/>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89</v>
      </c>
      <c r="C21" s="187">
        <v>0</v>
      </c>
      <c r="D21" s="185"/>
      <c r="E21" s="103"/>
      <c r="F21" s="42"/>
      <c r="G21" s="110"/>
      <c r="H21" s="54" t="s">
        <v>128</v>
      </c>
      <c r="I21" s="55"/>
      <c r="J21" s="56"/>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thickBot="1" x14ac:dyDescent="0.35">
      <c r="A22" s="109"/>
      <c r="B22" s="140" t="s">
        <v>91</v>
      </c>
      <c r="C22" s="187">
        <v>0</v>
      </c>
      <c r="D22" s="185"/>
      <c r="E22" s="103"/>
      <c r="F22" s="42"/>
      <c r="G22" s="112"/>
      <c r="H22" s="160"/>
      <c r="I22" s="161"/>
      <c r="J22" s="162"/>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102</v>
      </c>
      <c r="C23" s="187">
        <v>0</v>
      </c>
      <c r="D23" s="185"/>
      <c r="E23" s="103"/>
      <c r="F23" s="42"/>
      <c r="G23" s="112"/>
      <c r="H23" s="165" t="s">
        <v>24</v>
      </c>
      <c r="I23" s="35" t="s">
        <v>55</v>
      </c>
      <c r="J23" s="24">
        <f>PRODUCT(SUM(C19,-C20,-C21,-C22,-C23,-C24),15.34)</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141" t="s">
        <v>90</v>
      </c>
      <c r="C24" s="187">
        <v>0</v>
      </c>
      <c r="D24" s="185"/>
      <c r="E24" s="103"/>
      <c r="F24" s="42"/>
      <c r="G24" s="112"/>
      <c r="H24" s="82" t="s">
        <v>20</v>
      </c>
      <c r="I24" s="36" t="s">
        <v>33</v>
      </c>
      <c r="J24" s="37">
        <f>PRODUCT(C20,61.35)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thickBot="1" x14ac:dyDescent="0.35">
      <c r="A25" s="109"/>
      <c r="B25" s="216" t="s">
        <v>139</v>
      </c>
      <c r="C25" s="190">
        <v>0</v>
      </c>
      <c r="D25" s="185"/>
      <c r="E25" s="103"/>
      <c r="F25" s="42"/>
      <c r="G25" s="112"/>
      <c r="H25" s="82" t="s">
        <v>21</v>
      </c>
      <c r="I25" s="36" t="s">
        <v>33</v>
      </c>
      <c r="J25" s="37">
        <f>PRODUCT(SUM(C21,C22),61.35)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0" t="s">
        <v>126</v>
      </c>
      <c r="C26" s="214">
        <v>0</v>
      </c>
      <c r="D26" s="185"/>
      <c r="E26" s="103"/>
      <c r="F26" s="42"/>
      <c r="G26" s="112"/>
      <c r="H26" s="82" t="s">
        <v>105</v>
      </c>
      <c r="I26" s="36" t="s">
        <v>33</v>
      </c>
      <c r="J26" s="168">
        <f>PRODUCT(C22,61.35)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42" t="s">
        <v>127</v>
      </c>
      <c r="C27" s="214">
        <v>0</v>
      </c>
      <c r="D27" s="185"/>
      <c r="E27" s="103"/>
      <c r="F27" s="42"/>
      <c r="G27" s="112"/>
      <c r="H27" s="82" t="s">
        <v>106</v>
      </c>
      <c r="I27" s="36" t="s">
        <v>69</v>
      </c>
      <c r="J27" s="168">
        <f>PRODUCT(C23,40.35)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thickBot="1" x14ac:dyDescent="0.35">
      <c r="A28" s="109"/>
      <c r="B28" s="216" t="s">
        <v>8</v>
      </c>
      <c r="C28" s="215">
        <v>0</v>
      </c>
      <c r="D28" s="185"/>
      <c r="E28" s="103"/>
      <c r="F28" s="42"/>
      <c r="G28" s="112"/>
      <c r="H28" s="82" t="s">
        <v>108</v>
      </c>
      <c r="I28" s="36" t="s">
        <v>70</v>
      </c>
      <c r="J28" s="168">
        <f>PRODUCT(SUM(C25,-C26,-C27),25)</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thickBot="1" x14ac:dyDescent="0.35">
      <c r="A29" s="109"/>
      <c r="B29" s="140" t="s">
        <v>18</v>
      </c>
      <c r="C29" s="187">
        <v>0</v>
      </c>
      <c r="D29" s="185"/>
      <c r="E29" s="103"/>
      <c r="F29" s="42"/>
      <c r="G29" s="112"/>
      <c r="H29" s="82" t="s">
        <v>129</v>
      </c>
      <c r="I29" s="36" t="s">
        <v>123</v>
      </c>
      <c r="J29" s="168">
        <f>PRODUCT(C26,10)</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thickBot="1" x14ac:dyDescent="0.35">
      <c r="A30" s="109"/>
      <c r="B30" s="140" t="s">
        <v>89</v>
      </c>
      <c r="C30" s="187">
        <v>0</v>
      </c>
      <c r="D30" s="185"/>
      <c r="E30" s="103"/>
      <c r="F30" s="42"/>
      <c r="G30" s="112"/>
      <c r="H30" s="82" t="s">
        <v>130</v>
      </c>
      <c r="I30" s="36" t="s">
        <v>124</v>
      </c>
      <c r="J30" s="168">
        <f>PRODUCT(C27,4)</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thickBot="1" x14ac:dyDescent="0.35">
      <c r="A31" s="109"/>
      <c r="B31" s="140" t="s">
        <v>91</v>
      </c>
      <c r="C31" s="187">
        <v>0</v>
      </c>
      <c r="D31" s="185"/>
      <c r="E31" s="103"/>
      <c r="F31" s="42"/>
      <c r="G31" s="112"/>
      <c r="H31" s="166" t="s">
        <v>25</v>
      </c>
      <c r="I31" s="36" t="s">
        <v>56</v>
      </c>
      <c r="J31" s="38">
        <f>PRODUCT(SUM(C28,-C29,-C30,-C31,-C32,-C33,-C34),1.38)</f>
        <v>0</v>
      </c>
      <c r="K31" s="111"/>
      <c r="L31" s="105"/>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1" t="s">
        <v>103</v>
      </c>
      <c r="C32" s="187">
        <v>0</v>
      </c>
      <c r="D32" s="185"/>
      <c r="E32" s="103"/>
      <c r="F32" s="42"/>
      <c r="G32" s="112"/>
      <c r="H32" s="82" t="s">
        <v>22</v>
      </c>
      <c r="I32" s="36" t="s">
        <v>34</v>
      </c>
      <c r="J32" s="37">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41" t="s">
        <v>92</v>
      </c>
      <c r="C33" s="187">
        <v>0</v>
      </c>
      <c r="D33" s="185"/>
      <c r="E33" s="103"/>
      <c r="F33" s="42"/>
      <c r="G33" s="112"/>
      <c r="H33" s="82" t="s">
        <v>23</v>
      </c>
      <c r="I33" s="36" t="s">
        <v>34</v>
      </c>
      <c r="J33" s="37">
        <f>PRODUCT(SUM(C30,C31),5.5)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thickBot="1" x14ac:dyDescent="0.35">
      <c r="A34" s="109"/>
      <c r="B34" s="141" t="s">
        <v>93</v>
      </c>
      <c r="C34" s="187">
        <v>0</v>
      </c>
      <c r="D34" s="185"/>
      <c r="E34" s="103"/>
      <c r="F34" s="42"/>
      <c r="G34" s="112"/>
      <c r="H34" s="82" t="s">
        <v>104</v>
      </c>
      <c r="I34" s="36" t="s">
        <v>34</v>
      </c>
      <c r="J34" s="37">
        <f>PRODUCT(C32,5.5)</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thickBot="1" x14ac:dyDescent="0.35">
      <c r="A35" s="109"/>
      <c r="B35" s="216" t="s">
        <v>9</v>
      </c>
      <c r="C35" s="190">
        <v>0</v>
      </c>
      <c r="D35" s="185"/>
      <c r="E35" s="103"/>
      <c r="F35" s="42"/>
      <c r="G35" s="112"/>
      <c r="H35" s="82" t="s">
        <v>95</v>
      </c>
      <c r="I35" s="36" t="s">
        <v>73</v>
      </c>
      <c r="J35" s="168">
        <f>PRODUCT(C33,4.96)</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thickBot="1" x14ac:dyDescent="0.35">
      <c r="A36" s="109"/>
      <c r="B36" s="139" t="s">
        <v>18</v>
      </c>
      <c r="C36" s="187">
        <v>0</v>
      </c>
      <c r="D36" s="185"/>
      <c r="E36" s="103"/>
      <c r="F36" s="10"/>
      <c r="G36" s="10"/>
      <c r="H36" s="82" t="s">
        <v>96</v>
      </c>
      <c r="I36" s="36" t="s">
        <v>80</v>
      </c>
      <c r="J36" s="168">
        <f>PRODUCT(C34,4.42)</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thickBot="1" x14ac:dyDescent="0.35">
      <c r="A37" s="109"/>
      <c r="B37" s="140" t="s">
        <v>89</v>
      </c>
      <c r="C37" s="187">
        <v>0</v>
      </c>
      <c r="D37" s="185"/>
      <c r="E37" s="103"/>
      <c r="F37" s="42"/>
      <c r="G37" s="112"/>
      <c r="H37" s="166" t="s">
        <v>26</v>
      </c>
      <c r="I37" s="36" t="s">
        <v>57</v>
      </c>
      <c r="J37" s="38">
        <f>PRODUCT(SUM(C35,-C36,-C37,-C38,-C39,-C40,-C41),15.15)</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0" t="s">
        <v>91</v>
      </c>
      <c r="C38" s="187">
        <v>0</v>
      </c>
      <c r="D38" s="185"/>
      <c r="E38" s="103"/>
      <c r="F38" s="42"/>
      <c r="G38" s="112"/>
      <c r="H38" s="82" t="s">
        <v>27</v>
      </c>
      <c r="I38" s="36" t="s">
        <v>35</v>
      </c>
      <c r="J38" s="37">
        <f>PRODUCT(C36,60.6)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5">
      <c r="A39" s="109"/>
      <c r="B39" s="140" t="s">
        <v>103</v>
      </c>
      <c r="C39" s="187">
        <v>0</v>
      </c>
      <c r="D39" s="185"/>
      <c r="E39" s="103"/>
      <c r="F39" s="42"/>
      <c r="G39" s="112"/>
      <c r="H39" s="82" t="s">
        <v>28</v>
      </c>
      <c r="I39" s="36" t="s">
        <v>35</v>
      </c>
      <c r="J39" s="37">
        <f>PRODUCT(SUM(C37,C38),60.6)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thickBot="1" x14ac:dyDescent="0.35">
      <c r="A40" s="109"/>
      <c r="B40" s="140" t="s">
        <v>94</v>
      </c>
      <c r="C40" s="187">
        <v>0</v>
      </c>
      <c r="D40" s="185"/>
      <c r="E40" s="103"/>
      <c r="F40" s="42"/>
      <c r="G40" s="112"/>
      <c r="H40" s="82" t="s">
        <v>107</v>
      </c>
      <c r="I40" s="36" t="s">
        <v>35</v>
      </c>
      <c r="J40" s="37">
        <f>PRODUCT(C39,60.6)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18" customHeight="1" thickBot="1" x14ac:dyDescent="0.35">
      <c r="A41" s="109"/>
      <c r="B41" s="143" t="s">
        <v>93</v>
      </c>
      <c r="C41" s="187">
        <v>0</v>
      </c>
      <c r="D41" s="186"/>
      <c r="E41" s="103"/>
      <c r="F41" s="10"/>
      <c r="G41" s="10"/>
      <c r="H41" s="82" t="s">
        <v>97</v>
      </c>
      <c r="I41" s="36" t="s">
        <v>35</v>
      </c>
      <c r="J41" s="168">
        <f>PRODUCT(C40,60.6)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18" customHeight="1" thickBot="1" x14ac:dyDescent="0.3">
      <c r="A42" s="109"/>
      <c r="B42" s="103"/>
      <c r="C42" s="103"/>
      <c r="D42" s="103"/>
      <c r="E42" s="103"/>
      <c r="F42" s="103"/>
      <c r="G42" s="103"/>
      <c r="H42" s="82" t="s">
        <v>98</v>
      </c>
      <c r="I42" s="36" t="s">
        <v>77</v>
      </c>
      <c r="J42" s="168">
        <f>PRODUCT(C41,19.6)</f>
        <v>0</v>
      </c>
      <c r="K42" s="111"/>
      <c r="L42" s="106"/>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0.25" customHeight="1" thickBot="1" x14ac:dyDescent="0.35">
      <c r="A43" s="109"/>
      <c r="B43" s="289" t="s">
        <v>119</v>
      </c>
      <c r="C43" s="290"/>
      <c r="D43" s="291"/>
      <c r="E43" s="103"/>
      <c r="F43" s="42"/>
      <c r="G43" s="42"/>
      <c r="H43" s="167" t="s">
        <v>5</v>
      </c>
      <c r="I43" s="206"/>
      <c r="J43" s="207">
        <v>-250</v>
      </c>
      <c r="K43" s="111"/>
      <c r="L43" s="105"/>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26.25" customHeight="1" thickBot="1" x14ac:dyDescent="0.4">
      <c r="A44" s="109"/>
      <c r="B44" s="308" t="s">
        <v>120</v>
      </c>
      <c r="C44" s="259" t="s">
        <v>118</v>
      </c>
      <c r="D44" s="258"/>
      <c r="E44" s="103"/>
      <c r="F44" s="42"/>
      <c r="G44" s="42"/>
      <c r="H44" s="205" t="s">
        <v>41</v>
      </c>
      <c r="I44" s="163"/>
      <c r="J44" s="164">
        <f>IF(SUM(J23,J31,J37)&gt;250,SUM(J23:J43),SUM(J24:J30,J32:J36,J38:J42))</f>
        <v>0</v>
      </c>
      <c r="K44" s="111"/>
      <c r="L44" s="89"/>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21" customHeight="1" thickBot="1" x14ac:dyDescent="0.35">
      <c r="A45" s="109"/>
      <c r="B45" s="309"/>
      <c r="C45" s="250">
        <f>SUM(C50:C52)</f>
        <v>0</v>
      </c>
      <c r="D45" s="257" t="s">
        <v>114</v>
      </c>
      <c r="E45" s="103"/>
      <c r="F45" s="103"/>
      <c r="G45" s="103"/>
      <c r="H45" s="103"/>
      <c r="I45" s="103"/>
      <c r="J45" s="103"/>
      <c r="K45" s="111"/>
      <c r="L45" s="193">
        <f>J50*0.9</f>
        <v>0</v>
      </c>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3">
      <c r="A46" s="109"/>
      <c r="B46" s="139" t="s">
        <v>89</v>
      </c>
      <c r="C46" s="246">
        <v>0</v>
      </c>
      <c r="D46" s="239"/>
      <c r="E46" s="103"/>
      <c r="F46" s="42"/>
      <c r="G46" s="42"/>
      <c r="H46" s="235" t="s">
        <v>99</v>
      </c>
      <c r="I46" s="232"/>
      <c r="J46" s="233"/>
      <c r="K46" s="111"/>
      <c r="L46" s="193">
        <f>SUM((J7+J46)-D14)*0.9</f>
        <v>0</v>
      </c>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87"/>
      <c r="AL46" s="87"/>
      <c r="AM46" s="87"/>
      <c r="AN46" s="87"/>
      <c r="AO46" s="87"/>
      <c r="AP46" s="87"/>
      <c r="AQ46" s="87"/>
      <c r="AR46" s="87"/>
      <c r="AS46" s="87"/>
      <c r="AT46" s="87"/>
      <c r="AU46" s="87"/>
      <c r="AV46" s="87"/>
      <c r="AW46" s="87"/>
      <c r="AX46" s="87"/>
      <c r="AY46" s="87"/>
      <c r="AZ46" s="87"/>
      <c r="BA46" s="87"/>
      <c r="BB46" s="87"/>
      <c r="BC46" s="87"/>
      <c r="BD46" s="87"/>
      <c r="BE46" s="87"/>
      <c r="BF46" s="87"/>
      <c r="BG46" s="87"/>
    </row>
    <row r="47" spans="1:59" ht="18" hidden="1" customHeight="1" x14ac:dyDescent="0.3">
      <c r="A47" s="109"/>
      <c r="B47" s="140" t="s">
        <v>103</v>
      </c>
      <c r="C47" s="244">
        <v>0</v>
      </c>
      <c r="D47" s="239"/>
      <c r="E47" s="103"/>
      <c r="F47" s="42"/>
      <c r="G47" s="112"/>
      <c r="H47" s="33" t="s">
        <v>49</v>
      </c>
      <c r="I47" s="209"/>
      <c r="J47" s="196">
        <f>SUM(PRODUCT(SUM(C22,-C23,-C24,-C25,-C27),5.11),PRODUCT(SUM(C30,-C31,-C32,-C33,-C34,-C35),2.28),PRODUCT(SUM(C36,-C37,-C38,-C39,-C40,-C41),19.89),0)</f>
        <v>0</v>
      </c>
      <c r="K47" s="111"/>
      <c r="L47" s="200"/>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87"/>
      <c r="AL47" s="87"/>
      <c r="AM47" s="87"/>
      <c r="AN47" s="87"/>
      <c r="AO47" s="87"/>
      <c r="AP47" s="87"/>
      <c r="AQ47" s="87"/>
      <c r="AR47" s="87"/>
      <c r="AS47" s="87"/>
      <c r="AT47" s="87"/>
      <c r="AU47" s="87"/>
      <c r="AV47" s="87"/>
      <c r="AW47" s="87"/>
      <c r="AX47" s="87"/>
      <c r="AY47" s="87"/>
      <c r="AZ47" s="87"/>
      <c r="BA47" s="87"/>
      <c r="BB47" s="87"/>
      <c r="BC47" s="87"/>
      <c r="BD47" s="87"/>
      <c r="BE47" s="87"/>
      <c r="BF47" s="87"/>
      <c r="BG47" s="87"/>
    </row>
    <row r="48" spans="1:59" ht="18" hidden="1" customHeight="1" x14ac:dyDescent="0.35">
      <c r="A48" s="109"/>
      <c r="B48" s="242"/>
      <c r="C48" s="242"/>
      <c r="D48" s="111"/>
      <c r="E48" s="103"/>
      <c r="F48" s="42"/>
      <c r="G48" s="112"/>
      <c r="H48" s="175" t="s">
        <v>0</v>
      </c>
      <c r="I48" s="208"/>
      <c r="J48" s="164">
        <f>IF(L52&gt;L48,IF(L48&lt;0,0,L48),IF(L52&lt;0,0,L52))</f>
        <v>0</v>
      </c>
      <c r="K48" s="111"/>
      <c r="L48" s="200"/>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87"/>
      <c r="AL48" s="87"/>
      <c r="AM48" s="87"/>
      <c r="AN48" s="87"/>
      <c r="AO48" s="87"/>
      <c r="AP48" s="87"/>
      <c r="AQ48" s="87"/>
      <c r="AR48" s="87"/>
      <c r="AS48" s="87"/>
      <c r="AT48" s="87"/>
      <c r="AU48" s="87"/>
      <c r="AV48" s="87"/>
      <c r="AW48" s="87"/>
      <c r="AX48" s="87"/>
      <c r="AY48" s="87"/>
      <c r="AZ48" s="87"/>
      <c r="BA48" s="87"/>
      <c r="BB48" s="87"/>
      <c r="BC48" s="87"/>
      <c r="BD48" s="87"/>
      <c r="BE48" s="87"/>
      <c r="BF48" s="87"/>
      <c r="BG48" s="87"/>
    </row>
    <row r="49" spans="1:59" s="6" customFormat="1" ht="21.75" customHeight="1" thickBot="1" x14ac:dyDescent="0.4">
      <c r="A49" s="115"/>
      <c r="B49" s="247" t="s">
        <v>113</v>
      </c>
      <c r="C49" s="248"/>
      <c r="D49" s="249"/>
      <c r="E49" s="118"/>
      <c r="F49" s="118"/>
      <c r="G49" s="118"/>
      <c r="H49" s="236" t="s">
        <v>121</v>
      </c>
      <c r="I49" s="237"/>
      <c r="J49" s="73">
        <f>IF(L49&gt;L45,IF(L45&lt;0,0,L45),IF(L49&lt;0,0,L49))</f>
        <v>0</v>
      </c>
      <c r="K49" s="157"/>
      <c r="L49" s="201">
        <f>SUM((J11+J50)-D18)*0.9</f>
        <v>0</v>
      </c>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87"/>
      <c r="AL49" s="87"/>
      <c r="AM49" s="87"/>
      <c r="AN49" s="87"/>
      <c r="AO49" s="87"/>
      <c r="AP49" s="87"/>
      <c r="AQ49" s="87"/>
      <c r="AR49" s="87"/>
      <c r="AS49" s="87"/>
      <c r="AT49" s="87"/>
      <c r="AU49" s="87"/>
      <c r="AV49" s="87"/>
      <c r="AW49" s="87"/>
      <c r="AX49" s="87"/>
      <c r="AY49" s="87"/>
      <c r="AZ49" s="87"/>
      <c r="BA49" s="87"/>
      <c r="BB49" s="87"/>
      <c r="BC49" s="87"/>
      <c r="BD49" s="87"/>
      <c r="BE49" s="87"/>
      <c r="BF49" s="87"/>
      <c r="BG49" s="87"/>
    </row>
    <row r="50" spans="1:59" s="6" customFormat="1" ht="21.75" customHeight="1" thickBot="1" x14ac:dyDescent="0.35">
      <c r="A50" s="115"/>
      <c r="B50" s="156" t="s">
        <v>110</v>
      </c>
      <c r="C50" s="243">
        <v>0</v>
      </c>
      <c r="D50" s="240"/>
      <c r="E50" s="118"/>
      <c r="F50" s="118"/>
      <c r="G50" s="118"/>
      <c r="H50" s="33" t="s">
        <v>47</v>
      </c>
      <c r="I50" s="39"/>
      <c r="J50" s="251">
        <f>IF(SUM(PRODUCT(SUM(C19-C20-C21-C22-C23-C24),5.11),PRODUCT(SUM(C28-C29-C30-C31-C32,-C33,-C34),2.28),PRODUCT(SUM(C35-C36-C37,-C38,-C39-C40-C41),19.89),-750)&lt;0,0,SUM(PRODUCT(SUM(C19-C20-C21-C22-C23-C24),5.11),PRODUCT(SUM(C28-C29-C30-C31-C32,-C33,-C34),2.28),PRODUCT(SUM(C35-C36-C37,-C38,-C39-C40-C41),19.89),-750))</f>
        <v>0</v>
      </c>
      <c r="K50" s="116"/>
      <c r="L50" s="202"/>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89"/>
      <c r="AL50" s="89"/>
      <c r="AM50" s="89"/>
      <c r="AN50" s="89"/>
      <c r="AO50" s="89"/>
      <c r="AP50" s="89"/>
      <c r="AQ50" s="89"/>
      <c r="AR50" s="89"/>
      <c r="AS50" s="89"/>
      <c r="AT50" s="89"/>
      <c r="AU50" s="89"/>
      <c r="AV50" s="89"/>
      <c r="AW50" s="89"/>
      <c r="AX50" s="89"/>
      <c r="AY50" s="89"/>
      <c r="AZ50" s="89"/>
      <c r="BA50" s="89"/>
      <c r="BB50" s="89"/>
      <c r="BC50" s="89"/>
      <c r="BD50" s="89"/>
      <c r="BE50" s="89"/>
      <c r="BF50" s="89"/>
      <c r="BG50" s="89"/>
    </row>
    <row r="51" spans="1:59" s="6" customFormat="1" ht="21.75" customHeight="1" thickBot="1" x14ac:dyDescent="0.35">
      <c r="A51" s="115"/>
      <c r="B51" s="140" t="s">
        <v>111</v>
      </c>
      <c r="C51" s="244">
        <v>0</v>
      </c>
      <c r="D51" s="239"/>
      <c r="E51" s="118"/>
      <c r="F51" s="118"/>
      <c r="G51" s="118"/>
      <c r="H51" s="103"/>
      <c r="I51" s="103"/>
      <c r="J51" s="103"/>
      <c r="K51" s="116"/>
      <c r="L51" s="202"/>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89"/>
      <c r="AL51" s="89"/>
      <c r="AM51" s="89"/>
      <c r="AN51" s="89"/>
      <c r="AO51" s="89"/>
      <c r="AP51" s="89"/>
      <c r="AQ51" s="89"/>
      <c r="AR51" s="89"/>
      <c r="AS51" s="89"/>
      <c r="AT51" s="89"/>
      <c r="AU51" s="89"/>
      <c r="AV51" s="89"/>
      <c r="AW51" s="89"/>
      <c r="AX51" s="89"/>
      <c r="AY51" s="89"/>
      <c r="AZ51" s="89"/>
      <c r="BA51" s="89"/>
      <c r="BB51" s="89"/>
      <c r="BC51" s="89"/>
      <c r="BD51" s="89"/>
      <c r="BE51" s="89"/>
      <c r="BF51" s="89"/>
      <c r="BG51" s="89"/>
    </row>
    <row r="52" spans="1:59" s="6" customFormat="1" ht="24.75" customHeight="1" thickBot="1" x14ac:dyDescent="0.4">
      <c r="A52" s="115"/>
      <c r="B52" s="143" t="s">
        <v>112</v>
      </c>
      <c r="C52" s="245">
        <v>0</v>
      </c>
      <c r="D52" s="241"/>
      <c r="E52" s="118"/>
      <c r="F52" s="118"/>
      <c r="G52" s="118"/>
      <c r="H52" s="236" t="s">
        <v>115</v>
      </c>
      <c r="I52" s="237"/>
      <c r="J52" s="73">
        <f>IF(SUM(C50*(669.8-61.35),C51*(654.5-61.35),C52*(721-61.35))&lt;50,0,SUM(C50*(669.8-61.35),C51*(654.5-61.35),C52*(721-61.35)))</f>
        <v>0</v>
      </c>
      <c r="K52" s="116"/>
      <c r="L52" s="8"/>
      <c r="M52" s="8"/>
      <c r="N52" s="8"/>
      <c r="O52" s="8"/>
      <c r="P52" s="8"/>
      <c r="Q52" s="8"/>
      <c r="R52" s="8"/>
      <c r="S52" s="8"/>
      <c r="T52" s="8"/>
      <c r="U52" s="8"/>
      <c r="V52" s="8"/>
      <c r="W52" s="8"/>
      <c r="X52" s="8"/>
      <c r="Y52" s="8"/>
      <c r="Z52" s="8"/>
      <c r="AA52" s="8"/>
      <c r="AB52" s="8"/>
      <c r="AC52" s="8"/>
      <c r="AD52" s="8"/>
      <c r="AE52" s="8"/>
      <c r="AF52" s="8"/>
      <c r="AG52" s="8"/>
      <c r="AH52" s="8"/>
      <c r="AI52" s="8"/>
      <c r="AJ52" s="8"/>
    </row>
    <row r="53" spans="1:59" s="6" customFormat="1" ht="12.75" customHeight="1" thickBot="1" x14ac:dyDescent="0.35">
      <c r="A53" s="115"/>
      <c r="B53" s="103"/>
      <c r="C53" s="103"/>
      <c r="D53" s="103"/>
      <c r="E53" s="118"/>
      <c r="F53" s="118"/>
      <c r="G53" s="118"/>
      <c r="H53" s="103"/>
      <c r="I53" s="103"/>
      <c r="J53" s="103"/>
      <c r="K53" s="116"/>
      <c r="L53" s="8"/>
      <c r="M53" s="8"/>
      <c r="N53" s="8"/>
      <c r="O53" s="8"/>
      <c r="P53" s="8"/>
      <c r="Q53" s="8"/>
      <c r="R53" s="8"/>
      <c r="S53" s="8"/>
      <c r="T53" s="8"/>
      <c r="U53" s="8"/>
      <c r="V53" s="8"/>
      <c r="W53" s="8"/>
      <c r="X53" s="8"/>
      <c r="Y53" s="8"/>
      <c r="Z53" s="8"/>
      <c r="AA53" s="8"/>
      <c r="AB53" s="8"/>
      <c r="AC53" s="8"/>
      <c r="AD53" s="8"/>
      <c r="AE53" s="8"/>
      <c r="AF53" s="8"/>
      <c r="AG53" s="8"/>
      <c r="AH53" s="8"/>
      <c r="AI53" s="8"/>
      <c r="AJ53" s="8"/>
    </row>
    <row r="54" spans="1:59" s="6" customFormat="1" ht="16.5" customHeight="1" thickBot="1" x14ac:dyDescent="0.4">
      <c r="A54" s="115"/>
      <c r="B54" s="103"/>
      <c r="C54" s="103"/>
      <c r="D54" s="103"/>
      <c r="E54" s="104"/>
      <c r="F54" s="118"/>
      <c r="G54" s="118"/>
      <c r="H54" s="177" t="s">
        <v>31</v>
      </c>
      <c r="I54" s="178"/>
      <c r="J54" s="90">
        <f>SUM(J9,J14,J17,J18,J44,J49,J52)</f>
        <v>0</v>
      </c>
      <c r="K54" s="116"/>
      <c r="L54" s="8"/>
      <c r="M54" s="8"/>
      <c r="N54" s="8"/>
      <c r="O54" s="8"/>
      <c r="P54" s="8"/>
      <c r="Q54" s="8"/>
      <c r="R54" s="8"/>
      <c r="S54" s="8"/>
      <c r="T54" s="8"/>
      <c r="U54" s="8"/>
      <c r="V54" s="8"/>
      <c r="W54" s="8"/>
      <c r="X54" s="8"/>
      <c r="Y54" s="8"/>
      <c r="Z54" s="8"/>
      <c r="AA54" s="8"/>
      <c r="AB54" s="8"/>
      <c r="AC54" s="8"/>
      <c r="AD54" s="8"/>
      <c r="AE54" s="8"/>
      <c r="AF54" s="8"/>
      <c r="AG54" s="8"/>
      <c r="AH54" s="8"/>
      <c r="AI54" s="8"/>
      <c r="AJ54" s="8"/>
    </row>
    <row r="55" spans="1:59" s="6" customFormat="1" ht="18" customHeight="1" x14ac:dyDescent="0.3">
      <c r="A55" s="115"/>
      <c r="B55" s="103"/>
      <c r="C55" s="103"/>
      <c r="D55" s="103"/>
      <c r="E55" s="104"/>
      <c r="F55" s="118"/>
      <c r="G55" s="118"/>
      <c r="H55" s="179" t="s">
        <v>61</v>
      </c>
      <c r="I55" s="180"/>
      <c r="J55" s="135">
        <f>SUM(C7*20.5,C19*20.45,C25*25,C28*5.5,C35*60.6)</f>
        <v>0</v>
      </c>
      <c r="K55" s="116"/>
      <c r="L55" s="8"/>
      <c r="M55" s="8"/>
      <c r="N55" s="8"/>
      <c r="O55" s="8"/>
      <c r="P55" s="8"/>
      <c r="Q55" s="8"/>
      <c r="R55" s="8"/>
      <c r="S55" s="8"/>
      <c r="T55" s="8"/>
      <c r="U55" s="8"/>
      <c r="V55" s="8"/>
      <c r="W55" s="8"/>
      <c r="X55" s="8"/>
      <c r="Y55" s="8"/>
      <c r="Z55" s="8"/>
      <c r="AA55" s="8"/>
      <c r="AB55" s="8"/>
      <c r="AC55" s="8"/>
      <c r="AD55" s="8"/>
      <c r="AE55" s="8"/>
      <c r="AF55" s="8"/>
      <c r="AG55" s="8"/>
      <c r="AH55" s="8"/>
      <c r="AI55" s="8"/>
      <c r="AJ55" s="8"/>
    </row>
    <row r="56" spans="1:59" s="6" customFormat="1" ht="18" customHeight="1" thickBot="1" x14ac:dyDescent="0.35">
      <c r="A56" s="115"/>
      <c r="B56" s="238"/>
      <c r="C56" s="103"/>
      <c r="D56" s="103"/>
      <c r="E56" s="104"/>
      <c r="F56" s="118"/>
      <c r="G56" s="118"/>
      <c r="H56" s="181" t="s">
        <v>51</v>
      </c>
      <c r="I56" s="182"/>
      <c r="J56" s="91">
        <f>J55-J54+J52</f>
        <v>0</v>
      </c>
      <c r="K56" s="116"/>
      <c r="L56" s="8"/>
      <c r="M56" s="8"/>
      <c r="N56" s="8"/>
      <c r="O56" s="8"/>
      <c r="P56" s="8"/>
      <c r="Q56" s="8"/>
      <c r="R56" s="8"/>
      <c r="S56" s="8"/>
      <c r="T56" s="8"/>
      <c r="U56" s="8"/>
      <c r="V56" s="8"/>
      <c r="W56" s="8"/>
      <c r="X56" s="8"/>
      <c r="Y56" s="8"/>
      <c r="Z56" s="8"/>
      <c r="AA56" s="8"/>
      <c r="AB56" s="8"/>
      <c r="AC56" s="8"/>
      <c r="AD56" s="8"/>
      <c r="AE56" s="8"/>
      <c r="AF56" s="8"/>
      <c r="AG56" s="8"/>
      <c r="AH56" s="8"/>
      <c r="AI56" s="8"/>
      <c r="AJ56" s="8"/>
    </row>
    <row r="57" spans="1:59" s="6" customFormat="1" ht="13" x14ac:dyDescent="0.3">
      <c r="A57" s="115"/>
      <c r="B57" s="103"/>
      <c r="C57" s="103"/>
      <c r="D57" s="103"/>
      <c r="E57" s="104"/>
      <c r="F57" s="117"/>
      <c r="G57" s="104"/>
      <c r="H57" s="104"/>
      <c r="I57" s="118"/>
      <c r="J57" s="118"/>
      <c r="K57" s="116"/>
      <c r="L57" s="8"/>
      <c r="M57" s="8"/>
      <c r="N57" s="8"/>
      <c r="O57" s="8"/>
      <c r="P57" s="8"/>
      <c r="Q57" s="8"/>
      <c r="R57" s="8"/>
      <c r="S57" s="8"/>
      <c r="T57" s="8"/>
      <c r="U57" s="8"/>
      <c r="V57" s="8"/>
      <c r="W57" s="8"/>
      <c r="X57" s="8"/>
      <c r="Y57" s="8"/>
      <c r="Z57" s="8"/>
      <c r="AA57" s="8"/>
      <c r="AB57" s="8"/>
      <c r="AC57" s="8"/>
      <c r="AD57" s="8"/>
      <c r="AE57" s="8"/>
      <c r="AF57" s="8"/>
      <c r="AG57" s="8"/>
      <c r="AH57" s="8"/>
      <c r="AI57" s="8"/>
      <c r="AJ57" s="8"/>
    </row>
    <row r="58" spans="1:59" s="6" customFormat="1" ht="13.5" customHeight="1" thickBot="1" x14ac:dyDescent="0.35">
      <c r="A58" s="115"/>
      <c r="B58" s="103"/>
      <c r="C58" s="103"/>
      <c r="D58" s="103"/>
      <c r="E58" s="104"/>
      <c r="F58" s="118"/>
      <c r="G58" s="118"/>
      <c r="H58" s="118"/>
      <c r="I58" s="118"/>
      <c r="J58" s="118"/>
      <c r="K58" s="116"/>
      <c r="L58" s="8"/>
      <c r="M58" s="8"/>
      <c r="N58" s="8"/>
      <c r="O58" s="8"/>
      <c r="P58" s="8"/>
      <c r="Q58" s="8"/>
      <c r="R58" s="8"/>
      <c r="S58" s="8"/>
      <c r="T58" s="8"/>
      <c r="U58" s="8"/>
      <c r="V58" s="8"/>
      <c r="W58" s="8"/>
      <c r="X58" s="8"/>
      <c r="Y58" s="8"/>
      <c r="Z58" s="8"/>
      <c r="AA58" s="8"/>
      <c r="AB58" s="8"/>
      <c r="AC58" s="8"/>
      <c r="AD58" s="8"/>
      <c r="AE58" s="8"/>
      <c r="AF58" s="8"/>
      <c r="AG58" s="8"/>
      <c r="AH58" s="8"/>
      <c r="AI58" s="8"/>
      <c r="AJ58" s="8"/>
    </row>
    <row r="59" spans="1:59" ht="179.25" customHeight="1" thickBot="1" x14ac:dyDescent="0.35">
      <c r="A59" s="115"/>
      <c r="B59" s="387" t="s">
        <v>109</v>
      </c>
      <c r="C59" s="388"/>
      <c r="D59" s="389"/>
      <c r="E59" s="104"/>
      <c r="F59" s="199"/>
      <c r="G59" s="199"/>
      <c r="H59" s="378" t="s">
        <v>101</v>
      </c>
      <c r="I59" s="379"/>
      <c r="J59" s="380"/>
      <c r="K59" s="116"/>
      <c r="L59" s="8"/>
      <c r="M59" s="8"/>
      <c r="N59" s="8"/>
      <c r="O59" s="8"/>
      <c r="P59" s="8"/>
      <c r="Q59" s="8"/>
      <c r="R59" s="8"/>
      <c r="S59" s="8"/>
      <c r="T59" s="8"/>
      <c r="U59" s="8"/>
      <c r="V59" s="8"/>
      <c r="W59" s="8"/>
      <c r="X59" s="8"/>
      <c r="Y59" s="8"/>
      <c r="Z59" s="8"/>
      <c r="AA59" s="8"/>
      <c r="AB59" s="8"/>
      <c r="AC59" s="8"/>
      <c r="AD59" s="8"/>
      <c r="AE59" s="8"/>
      <c r="AF59" s="8"/>
      <c r="AG59" s="8"/>
      <c r="AH59" s="8"/>
      <c r="AI59" s="8"/>
      <c r="AJ59" s="8"/>
    </row>
    <row r="60" spans="1:59" ht="14.25" customHeight="1" thickBot="1" x14ac:dyDescent="0.35">
      <c r="A60" s="115"/>
      <c r="B60" s="103"/>
      <c r="C60" s="103"/>
      <c r="D60" s="103"/>
      <c r="E60" s="104"/>
      <c r="F60" s="199"/>
      <c r="G60" s="199"/>
      <c r="H60" s="372" t="s">
        <v>136</v>
      </c>
      <c r="I60" s="373"/>
      <c r="J60" s="304"/>
      <c r="K60" s="116"/>
      <c r="L60" s="8"/>
      <c r="M60" s="8"/>
      <c r="N60" s="8"/>
      <c r="O60" s="8"/>
      <c r="P60" s="8"/>
      <c r="Q60" s="8"/>
      <c r="R60" s="8"/>
      <c r="S60" s="8"/>
      <c r="T60" s="8"/>
      <c r="U60" s="8"/>
      <c r="V60" s="8"/>
      <c r="W60" s="8"/>
      <c r="X60" s="8"/>
      <c r="Y60" s="8"/>
      <c r="Z60" s="8"/>
      <c r="AA60" s="8"/>
      <c r="AB60" s="8"/>
      <c r="AC60" s="8"/>
      <c r="AD60" s="8"/>
      <c r="AE60" s="8"/>
      <c r="AF60" s="8"/>
      <c r="AG60" s="8"/>
      <c r="AH60" s="8"/>
      <c r="AI60" s="8"/>
      <c r="AJ60" s="8"/>
    </row>
    <row r="61" spans="1:59" ht="179.25" customHeight="1" thickBot="1" x14ac:dyDescent="0.35">
      <c r="A61" s="115"/>
      <c r="B61" s="381" t="s">
        <v>141</v>
      </c>
      <c r="C61" s="382"/>
      <c r="D61" s="383"/>
      <c r="E61" s="104"/>
      <c r="F61" s="104"/>
      <c r="G61" s="104"/>
      <c r="H61" s="374"/>
      <c r="I61" s="375"/>
      <c r="J61" s="305"/>
      <c r="K61" s="116"/>
      <c r="L61" s="8"/>
      <c r="M61" s="8"/>
      <c r="N61" s="8"/>
      <c r="O61" s="8"/>
      <c r="P61" s="8"/>
      <c r="Q61" s="8"/>
      <c r="R61" s="8"/>
      <c r="S61" s="8"/>
      <c r="T61" s="8"/>
      <c r="U61" s="8"/>
      <c r="V61" s="8"/>
      <c r="W61" s="8"/>
      <c r="X61" s="8"/>
      <c r="Y61" s="8"/>
      <c r="Z61" s="8"/>
      <c r="AA61" s="8"/>
      <c r="AB61" s="8"/>
      <c r="AC61" s="8"/>
      <c r="AD61" s="8"/>
      <c r="AE61" s="8"/>
      <c r="AF61" s="8"/>
      <c r="AG61" s="8"/>
      <c r="AH61" s="8"/>
      <c r="AI61" s="8"/>
      <c r="AJ61" s="8"/>
    </row>
    <row r="62" spans="1:59" s="8" customFormat="1" ht="13.5" thickBot="1" x14ac:dyDescent="0.35">
      <c r="A62" s="119"/>
      <c r="B62" s="121"/>
      <c r="C62" s="121"/>
      <c r="D62" s="121"/>
      <c r="E62" s="121"/>
      <c r="F62" s="121"/>
      <c r="G62" s="121"/>
      <c r="H62" s="121"/>
      <c r="I62" s="121"/>
      <c r="J62" s="121"/>
      <c r="K62" s="122"/>
    </row>
    <row r="63" spans="1:59" s="6" customFormat="1" ht="6.75" customHeight="1" x14ac:dyDescent="0.3">
      <c r="A63" s="9"/>
      <c r="B63" s="9"/>
      <c r="C63" s="9"/>
      <c r="D63" s="9"/>
      <c r="E63" s="9"/>
      <c r="F63" s="9"/>
      <c r="G63" s="9"/>
      <c r="H63" s="9"/>
      <c r="I63" s="9"/>
      <c r="J63" s="9"/>
      <c r="K63" s="9"/>
      <c r="L63" s="9"/>
      <c r="M63" s="8"/>
      <c r="N63" s="8"/>
      <c r="O63" s="8"/>
      <c r="P63" s="8"/>
      <c r="Q63" s="8"/>
      <c r="R63" s="8"/>
      <c r="S63" s="8"/>
      <c r="T63" s="8"/>
      <c r="U63" s="8"/>
      <c r="V63" s="8"/>
      <c r="W63" s="8"/>
      <c r="X63" s="8"/>
      <c r="Y63" s="8"/>
      <c r="Z63" s="8"/>
      <c r="AA63" s="8"/>
      <c r="AB63" s="8"/>
      <c r="AC63" s="8"/>
      <c r="AD63" s="8"/>
      <c r="AE63" s="8"/>
      <c r="AF63" s="8"/>
      <c r="AG63" s="8"/>
      <c r="AH63" s="8"/>
      <c r="AI63" s="8"/>
      <c r="AJ63" s="8"/>
    </row>
    <row r="64" spans="1:59" s="6" customFormat="1" ht="20.25" customHeight="1" x14ac:dyDescent="0.3">
      <c r="A64" s="9"/>
      <c r="B64" s="9"/>
      <c r="C64" s="9"/>
      <c r="D64" s="9"/>
      <c r="E64" s="9"/>
      <c r="F64" s="9"/>
      <c r="G64" s="9"/>
      <c r="H64" s="9"/>
      <c r="I64" s="9"/>
      <c r="J64" s="9"/>
      <c r="K64" s="9"/>
      <c r="L64" s="9"/>
      <c r="M64" s="8"/>
      <c r="N64" s="8"/>
      <c r="O64" s="8"/>
      <c r="P64" s="8"/>
      <c r="Q64" s="8"/>
      <c r="R64" s="8"/>
      <c r="S64" s="8"/>
      <c r="T64" s="8"/>
      <c r="U64" s="8"/>
      <c r="V64" s="8"/>
      <c r="W64" s="8"/>
      <c r="X64" s="8"/>
      <c r="Y64" s="8"/>
      <c r="Z64" s="8"/>
      <c r="AA64" s="8"/>
      <c r="AB64" s="8"/>
      <c r="AC64" s="8"/>
      <c r="AD64" s="8"/>
      <c r="AE64" s="8"/>
      <c r="AF64" s="8"/>
      <c r="AG64" s="8"/>
      <c r="AH64" s="8"/>
      <c r="AI64" s="8"/>
      <c r="AJ64" s="8"/>
    </row>
    <row r="65" spans="1:36" s="6" customFormat="1" ht="21" customHeight="1" x14ac:dyDescent="0.3">
      <c r="A65" s="9"/>
      <c r="B65" s="7"/>
      <c r="C65" s="9"/>
      <c r="D65" s="9"/>
      <c r="E65" s="9"/>
      <c r="F65" s="9"/>
      <c r="G65" s="9"/>
      <c r="H65" s="8"/>
      <c r="I65" s="8"/>
      <c r="J65" s="8"/>
      <c r="K65" s="9"/>
      <c r="L65" s="8"/>
      <c r="M65" s="8"/>
      <c r="N65" s="8"/>
      <c r="O65" s="8"/>
      <c r="P65" s="8"/>
      <c r="Q65" s="8"/>
      <c r="R65" s="8"/>
      <c r="S65" s="8"/>
      <c r="T65" s="8"/>
      <c r="U65" s="8"/>
      <c r="V65" s="8"/>
      <c r="W65" s="8"/>
      <c r="X65" s="8"/>
      <c r="Y65" s="8"/>
      <c r="Z65" s="8"/>
      <c r="AA65" s="8"/>
      <c r="AB65" s="8"/>
      <c r="AC65" s="8"/>
      <c r="AD65" s="8"/>
      <c r="AE65" s="8"/>
      <c r="AF65" s="8"/>
      <c r="AG65" s="8"/>
      <c r="AH65" s="8"/>
      <c r="AI65" s="8"/>
      <c r="AJ65" s="8"/>
    </row>
    <row r="66" spans="1:36" s="6" customFormat="1" ht="26.25" customHeight="1" x14ac:dyDescent="0.3">
      <c r="A66" s="9"/>
      <c r="B66" s="7"/>
      <c r="C66" s="9"/>
      <c r="D66" s="9"/>
      <c r="E66" s="9"/>
      <c r="F66" s="9"/>
      <c r="G66" s="9"/>
      <c r="H66" s="8"/>
      <c r="I66" s="8"/>
      <c r="J66" s="8"/>
      <c r="K66" s="9"/>
      <c r="L66" s="8"/>
      <c r="M66" s="8"/>
      <c r="N66" s="8"/>
      <c r="O66" s="8"/>
      <c r="P66" s="8"/>
      <c r="Q66" s="8"/>
      <c r="R66" s="8"/>
      <c r="S66" s="8"/>
      <c r="T66" s="8"/>
      <c r="U66" s="8"/>
      <c r="V66" s="8"/>
      <c r="W66" s="8"/>
      <c r="X66" s="8"/>
      <c r="Y66" s="8"/>
      <c r="Z66" s="8"/>
      <c r="AA66" s="8"/>
      <c r="AB66" s="8"/>
      <c r="AC66" s="8"/>
      <c r="AD66" s="8"/>
      <c r="AE66" s="8"/>
      <c r="AF66" s="8"/>
      <c r="AG66" s="8"/>
      <c r="AH66" s="8"/>
      <c r="AI66" s="8"/>
      <c r="AJ66" s="8"/>
    </row>
    <row r="67" spans="1:36" s="6" customFormat="1" ht="13" x14ac:dyDescent="0.3">
      <c r="A67" s="9"/>
      <c r="B67" s="7"/>
      <c r="C67" s="9"/>
      <c r="D67" s="9"/>
      <c r="E67" s="9"/>
      <c r="F67" s="9"/>
      <c r="G67" s="9"/>
      <c r="H67" s="8"/>
      <c r="I67" s="8"/>
      <c r="J67" s="8"/>
      <c r="K67" s="9"/>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s="6" customFormat="1" ht="13" x14ac:dyDescent="0.3">
      <c r="A68" s="9"/>
      <c r="B68" s="7"/>
      <c r="C68" s="9"/>
      <c r="D68" s="9"/>
      <c r="E68" s="9"/>
      <c r="F68" s="9"/>
      <c r="G68" s="9"/>
      <c r="H68" s="8"/>
      <c r="I68" s="8"/>
      <c r="J68" s="8"/>
      <c r="K68" s="9"/>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s="6" customFormat="1" ht="13" x14ac:dyDescent="0.3">
      <c r="A69" s="9"/>
      <c r="B69" s="7"/>
      <c r="C69" s="9"/>
      <c r="D69" s="9"/>
      <c r="E69" s="9"/>
      <c r="F69" s="9"/>
      <c r="G69" s="9"/>
      <c r="H69" s="8"/>
      <c r="I69" s="8"/>
      <c r="J69" s="8"/>
      <c r="K69" s="9"/>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s="6" customFormat="1" x14ac:dyDescent="0.2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s="6" customFormat="1" x14ac:dyDescent="0.2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s="6" customFormat="1" x14ac:dyDescent="0.2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s="6" customFormat="1" x14ac:dyDescent="0.2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s="6" customFormat="1" x14ac:dyDescent="0.2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s="6" customFormat="1" x14ac:dyDescent="0.2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s="6" customFormat="1" x14ac:dyDescent="0.25">
      <c r="C76" s="8"/>
      <c r="D76" s="8"/>
      <c r="E76" s="8"/>
      <c r="F76" s="8"/>
      <c r="G76" s="8"/>
      <c r="H76" s="384"/>
      <c r="I76" s="385"/>
      <c r="J76" s="385"/>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s="6" customFormat="1" x14ac:dyDescent="0.25">
      <c r="C77" s="8"/>
      <c r="D77" s="8"/>
      <c r="E77" s="8"/>
      <c r="F77" s="8"/>
      <c r="G77" s="8"/>
      <c r="H77" s="385"/>
      <c r="I77" s="385"/>
      <c r="J77" s="385"/>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s="6" customFormat="1" x14ac:dyDescent="0.25">
      <c r="C78" s="8"/>
      <c r="D78" s="8"/>
      <c r="E78" s="8"/>
      <c r="F78" s="8"/>
      <c r="G78" s="8"/>
      <c r="H78" s="385"/>
      <c r="I78" s="385"/>
      <c r="J78" s="385"/>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s="6" customFormat="1" x14ac:dyDescent="0.25">
      <c r="C79" s="8"/>
      <c r="D79" s="8"/>
      <c r="E79" s="8"/>
      <c r="F79" s="8"/>
      <c r="G79" s="8"/>
      <c r="H79" s="385"/>
      <c r="I79" s="385"/>
      <c r="J79" s="385"/>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s="6" customFormat="1" x14ac:dyDescent="0.25">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3:36" s="6" customFormat="1" x14ac:dyDescent="0.25">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3:36" s="6" customFormat="1" x14ac:dyDescent="0.25">
      <c r="C82" s="8"/>
      <c r="D82" s="8"/>
      <c r="E82" s="8"/>
      <c r="F82" s="8"/>
      <c r="G82" s="8"/>
      <c r="H82" s="195"/>
      <c r="I82" s="195"/>
      <c r="J82" s="195"/>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3:36" s="6" customFormat="1" ht="13" x14ac:dyDescent="0.3">
      <c r="C83" s="8"/>
      <c r="D83" s="195"/>
      <c r="E83" s="195"/>
      <c r="F83" s="195"/>
      <c r="G83" s="195"/>
      <c r="H83" s="203"/>
      <c r="I83" s="9"/>
      <c r="J83" s="9"/>
      <c r="K83" s="195"/>
      <c r="L83" s="195"/>
      <c r="M83" s="195"/>
      <c r="N83" s="195"/>
      <c r="O83" s="8"/>
      <c r="P83" s="8"/>
      <c r="Q83" s="8"/>
      <c r="R83" s="8"/>
      <c r="S83" s="8"/>
      <c r="T83" s="8"/>
      <c r="U83" s="8"/>
      <c r="V83" s="8"/>
      <c r="W83" s="8"/>
      <c r="X83" s="8"/>
      <c r="Y83" s="8"/>
      <c r="Z83" s="8"/>
      <c r="AA83" s="8"/>
      <c r="AB83" s="8"/>
      <c r="AC83" s="8"/>
      <c r="AD83" s="8"/>
      <c r="AE83" s="8"/>
      <c r="AF83" s="8"/>
      <c r="AG83" s="8"/>
      <c r="AH83" s="8"/>
      <c r="AI83" s="8"/>
      <c r="AJ83" s="8"/>
    </row>
    <row r="84" spans="3:36" s="6" customFormat="1" x14ac:dyDescent="0.25">
      <c r="C84" s="8"/>
      <c r="D84" s="195"/>
      <c r="E84" s="195"/>
      <c r="F84" s="195"/>
      <c r="G84" s="195"/>
      <c r="H84" s="386"/>
      <c r="I84" s="386"/>
      <c r="J84" s="386"/>
      <c r="K84" s="195"/>
      <c r="L84" s="195"/>
      <c r="M84" s="195"/>
      <c r="N84" s="195"/>
      <c r="O84" s="8"/>
      <c r="P84" s="8"/>
      <c r="Q84" s="8"/>
      <c r="R84" s="8"/>
      <c r="S84" s="8"/>
      <c r="T84" s="8"/>
      <c r="U84" s="8"/>
      <c r="V84" s="8"/>
      <c r="W84" s="8"/>
      <c r="X84" s="8"/>
      <c r="Y84" s="8"/>
      <c r="Z84" s="8"/>
      <c r="AA84" s="8"/>
      <c r="AB84" s="8"/>
      <c r="AC84" s="8"/>
      <c r="AD84" s="8"/>
      <c r="AE84" s="8"/>
      <c r="AF84" s="8"/>
      <c r="AG84" s="8"/>
      <c r="AH84" s="8"/>
      <c r="AI84" s="8"/>
      <c r="AJ84" s="8"/>
    </row>
    <row r="85" spans="3:36" s="6" customFormat="1" x14ac:dyDescent="0.25">
      <c r="C85" s="8"/>
      <c r="D85" s="195"/>
      <c r="E85" s="195"/>
      <c r="F85" s="195"/>
      <c r="G85" s="195"/>
      <c r="H85" s="376"/>
      <c r="I85" s="377"/>
      <c r="J85" s="377"/>
      <c r="K85" s="195"/>
      <c r="L85" s="195"/>
      <c r="M85" s="195"/>
      <c r="N85" s="195"/>
      <c r="O85" s="8"/>
      <c r="P85" s="8"/>
      <c r="Q85" s="8"/>
      <c r="R85" s="8"/>
      <c r="S85" s="8"/>
      <c r="T85" s="8"/>
      <c r="U85" s="8"/>
      <c r="V85" s="8"/>
      <c r="W85" s="8"/>
      <c r="X85" s="8"/>
      <c r="Y85" s="8"/>
      <c r="Z85" s="8"/>
      <c r="AA85" s="8"/>
      <c r="AB85" s="8"/>
      <c r="AC85" s="8"/>
      <c r="AD85" s="8"/>
      <c r="AE85" s="8"/>
      <c r="AF85" s="8"/>
      <c r="AG85" s="8"/>
      <c r="AH85" s="8"/>
      <c r="AI85" s="8"/>
      <c r="AJ85" s="8"/>
    </row>
    <row r="86" spans="3:36" s="6" customFormat="1" x14ac:dyDescent="0.25">
      <c r="C86" s="8"/>
      <c r="D86" s="195"/>
      <c r="E86" s="195"/>
      <c r="F86" s="195"/>
      <c r="G86" s="195"/>
      <c r="H86" s="377"/>
      <c r="I86" s="377"/>
      <c r="J86" s="377"/>
      <c r="K86" s="195"/>
      <c r="L86" s="195"/>
      <c r="M86" s="195"/>
      <c r="N86" s="195"/>
      <c r="O86" s="8"/>
      <c r="P86" s="8"/>
      <c r="Q86" s="8"/>
      <c r="R86" s="8"/>
      <c r="S86" s="8"/>
      <c r="T86" s="8"/>
      <c r="U86" s="8"/>
      <c r="V86" s="8"/>
      <c r="W86" s="8"/>
      <c r="X86" s="8"/>
      <c r="Y86" s="8"/>
      <c r="Z86" s="8"/>
      <c r="AA86" s="8"/>
      <c r="AB86" s="8"/>
      <c r="AC86" s="8"/>
      <c r="AD86" s="8"/>
      <c r="AE86" s="8"/>
      <c r="AF86" s="8"/>
      <c r="AG86" s="8"/>
      <c r="AH86" s="8"/>
      <c r="AI86" s="8"/>
      <c r="AJ86" s="8"/>
    </row>
    <row r="87" spans="3:36" s="6" customFormat="1" x14ac:dyDescent="0.25">
      <c r="C87" s="8"/>
      <c r="D87" s="195"/>
      <c r="E87" s="195"/>
      <c r="F87" s="195"/>
      <c r="G87" s="195"/>
      <c r="H87" s="377"/>
      <c r="I87" s="377"/>
      <c r="J87" s="377"/>
      <c r="K87" s="195"/>
      <c r="L87" s="195"/>
      <c r="M87" s="195"/>
      <c r="N87" s="195"/>
      <c r="O87" s="8"/>
      <c r="P87" s="8"/>
      <c r="Q87" s="8"/>
      <c r="R87" s="8"/>
      <c r="S87" s="8"/>
      <c r="T87" s="8"/>
      <c r="U87" s="8"/>
      <c r="V87" s="8"/>
      <c r="W87" s="8"/>
      <c r="X87" s="8"/>
      <c r="Y87" s="8"/>
      <c r="Z87" s="8"/>
      <c r="AA87" s="8"/>
      <c r="AB87" s="8"/>
      <c r="AC87" s="8"/>
      <c r="AD87" s="8"/>
      <c r="AE87" s="8"/>
      <c r="AF87" s="8"/>
      <c r="AG87" s="8"/>
      <c r="AH87" s="8"/>
      <c r="AI87" s="8"/>
      <c r="AJ87" s="8"/>
    </row>
    <row r="88" spans="3:36" s="6" customFormat="1" x14ac:dyDescent="0.25">
      <c r="C88" s="8"/>
      <c r="D88" s="195"/>
      <c r="E88" s="195"/>
      <c r="F88" s="195"/>
      <c r="G88" s="195"/>
      <c r="H88" s="377"/>
      <c r="I88" s="377"/>
      <c r="J88" s="377"/>
      <c r="K88" s="195"/>
      <c r="L88" s="195"/>
      <c r="M88" s="195"/>
      <c r="N88" s="195"/>
      <c r="O88" s="8"/>
      <c r="P88" s="8"/>
      <c r="Q88" s="8"/>
      <c r="R88" s="8"/>
      <c r="S88" s="8"/>
      <c r="T88" s="8"/>
      <c r="U88" s="8"/>
      <c r="V88" s="8"/>
      <c r="W88" s="8"/>
      <c r="X88" s="8"/>
      <c r="Y88" s="8"/>
      <c r="Z88" s="8"/>
      <c r="AA88" s="8"/>
      <c r="AB88" s="8"/>
      <c r="AC88" s="8"/>
      <c r="AD88" s="8"/>
      <c r="AE88" s="8"/>
      <c r="AF88" s="8"/>
      <c r="AG88" s="8"/>
      <c r="AH88" s="8"/>
      <c r="AI88" s="8"/>
      <c r="AJ88" s="8"/>
    </row>
    <row r="89" spans="3:36" s="6" customFormat="1" x14ac:dyDescent="0.25">
      <c r="C89" s="8"/>
      <c r="D89" s="195"/>
      <c r="E89" s="195"/>
      <c r="F89" s="195"/>
      <c r="G89" s="195"/>
      <c r="H89" s="377"/>
      <c r="I89" s="377"/>
      <c r="J89" s="377"/>
      <c r="K89" s="195"/>
      <c r="L89" s="195"/>
      <c r="M89" s="195"/>
      <c r="N89" s="195"/>
      <c r="O89" s="8"/>
      <c r="P89" s="8"/>
      <c r="Q89" s="8"/>
      <c r="R89" s="8"/>
      <c r="S89" s="8"/>
      <c r="T89" s="8"/>
      <c r="U89" s="8"/>
      <c r="V89" s="8"/>
      <c r="W89" s="8"/>
      <c r="X89" s="8"/>
      <c r="Y89" s="8"/>
      <c r="Z89" s="8"/>
      <c r="AA89" s="8"/>
      <c r="AB89" s="8"/>
      <c r="AC89" s="8"/>
      <c r="AD89" s="8"/>
      <c r="AE89" s="8"/>
      <c r="AF89" s="8"/>
      <c r="AG89" s="8"/>
      <c r="AH89" s="8"/>
      <c r="AI89" s="8"/>
      <c r="AJ89" s="8"/>
    </row>
    <row r="90" spans="3:36" s="6" customFormat="1" x14ac:dyDescent="0.25">
      <c r="C90" s="8"/>
      <c r="D90" s="195"/>
      <c r="E90" s="195"/>
      <c r="F90" s="195"/>
      <c r="G90" s="195"/>
      <c r="H90" s="377"/>
      <c r="I90" s="377"/>
      <c r="J90" s="377"/>
      <c r="K90" s="195"/>
      <c r="L90" s="195"/>
      <c r="M90" s="195"/>
      <c r="N90" s="195"/>
      <c r="O90" s="8"/>
      <c r="P90" s="8"/>
      <c r="Q90" s="8"/>
      <c r="R90" s="8"/>
      <c r="S90" s="8"/>
      <c r="T90" s="8"/>
      <c r="U90" s="8"/>
      <c r="V90" s="8"/>
      <c r="W90" s="8"/>
      <c r="X90" s="8"/>
      <c r="Y90" s="8"/>
      <c r="Z90" s="8"/>
      <c r="AA90" s="8"/>
      <c r="AB90" s="8"/>
      <c r="AC90" s="8"/>
      <c r="AD90" s="8"/>
      <c r="AE90" s="8"/>
      <c r="AF90" s="8"/>
      <c r="AG90" s="8"/>
      <c r="AH90" s="8"/>
      <c r="AI90" s="8"/>
      <c r="AJ90" s="8"/>
    </row>
    <row r="91" spans="3:36" s="6" customFormat="1" x14ac:dyDescent="0.25">
      <c r="C91" s="8"/>
      <c r="D91" s="195"/>
      <c r="E91" s="195"/>
      <c r="F91" s="195"/>
      <c r="G91" s="195"/>
      <c r="H91" s="377"/>
      <c r="I91" s="377"/>
      <c r="J91" s="377"/>
      <c r="K91" s="195"/>
      <c r="L91" s="195"/>
      <c r="M91" s="195"/>
      <c r="N91" s="195"/>
      <c r="O91" s="8"/>
      <c r="P91" s="8"/>
      <c r="Q91" s="8"/>
      <c r="R91" s="8"/>
      <c r="S91" s="8"/>
      <c r="T91" s="8"/>
      <c r="U91" s="8"/>
      <c r="V91" s="8"/>
      <c r="W91" s="8"/>
      <c r="X91" s="8"/>
      <c r="Y91" s="8"/>
      <c r="Z91" s="8"/>
      <c r="AA91" s="8"/>
      <c r="AB91" s="8"/>
      <c r="AC91" s="8"/>
      <c r="AD91" s="8"/>
      <c r="AE91" s="8"/>
      <c r="AF91" s="8"/>
      <c r="AG91" s="8"/>
      <c r="AH91" s="8"/>
      <c r="AI91" s="8"/>
      <c r="AJ91" s="8"/>
    </row>
    <row r="92" spans="3:36" s="6" customFormat="1" x14ac:dyDescent="0.25">
      <c r="C92" s="8"/>
      <c r="D92" s="195"/>
      <c r="E92" s="195"/>
      <c r="F92" s="195"/>
      <c r="G92" s="195"/>
      <c r="H92" s="377"/>
      <c r="I92" s="377"/>
      <c r="J92" s="377"/>
      <c r="K92" s="195"/>
      <c r="L92" s="195"/>
      <c r="M92" s="195"/>
      <c r="N92" s="195"/>
      <c r="O92" s="8"/>
      <c r="P92" s="8"/>
      <c r="Q92" s="8"/>
      <c r="R92" s="8"/>
      <c r="S92" s="8"/>
      <c r="T92" s="8"/>
      <c r="U92" s="8"/>
      <c r="V92" s="8"/>
      <c r="W92" s="8"/>
      <c r="X92" s="8"/>
      <c r="Y92" s="8"/>
      <c r="Z92" s="8"/>
      <c r="AA92" s="8"/>
      <c r="AB92" s="8"/>
      <c r="AC92" s="8"/>
      <c r="AD92" s="8"/>
      <c r="AE92" s="8"/>
      <c r="AF92" s="8"/>
      <c r="AG92" s="8"/>
      <c r="AH92" s="8"/>
      <c r="AI92" s="8"/>
      <c r="AJ92" s="8"/>
    </row>
    <row r="93" spans="3:36" s="6" customFormat="1" x14ac:dyDescent="0.25">
      <c r="C93" s="8"/>
      <c r="D93" s="195"/>
      <c r="E93" s="195"/>
      <c r="F93" s="195"/>
      <c r="G93" s="195"/>
      <c r="H93" s="377"/>
      <c r="I93" s="377"/>
      <c r="J93" s="377"/>
      <c r="K93" s="195"/>
      <c r="L93" s="195"/>
      <c r="M93" s="195"/>
      <c r="N93" s="195"/>
      <c r="O93" s="8"/>
      <c r="P93" s="8"/>
      <c r="Q93" s="8"/>
      <c r="R93" s="8"/>
      <c r="S93" s="8"/>
      <c r="T93" s="8"/>
      <c r="U93" s="8"/>
      <c r="V93" s="8"/>
      <c r="W93" s="8"/>
      <c r="X93" s="8"/>
      <c r="Y93" s="8"/>
      <c r="Z93" s="8"/>
      <c r="AA93" s="8"/>
      <c r="AB93" s="8"/>
      <c r="AC93" s="8"/>
      <c r="AD93" s="8"/>
      <c r="AE93" s="8"/>
      <c r="AF93" s="8"/>
      <c r="AG93" s="8"/>
      <c r="AH93" s="8"/>
      <c r="AI93" s="8"/>
      <c r="AJ93" s="8"/>
    </row>
    <row r="94" spans="3:36" s="6" customFormat="1" x14ac:dyDescent="0.25">
      <c r="C94" s="8"/>
      <c r="D94" s="195"/>
      <c r="E94" s="195"/>
      <c r="F94" s="195"/>
      <c r="G94" s="195"/>
      <c r="H94" s="377"/>
      <c r="I94" s="377"/>
      <c r="J94" s="377"/>
      <c r="K94" s="195"/>
      <c r="L94" s="195"/>
      <c r="M94" s="195"/>
      <c r="N94" s="195"/>
      <c r="O94" s="8"/>
      <c r="P94" s="8"/>
      <c r="Q94" s="8"/>
      <c r="R94" s="8"/>
      <c r="S94" s="8"/>
      <c r="T94" s="8"/>
      <c r="U94" s="8"/>
      <c r="V94" s="8"/>
      <c r="W94" s="8"/>
      <c r="X94" s="8"/>
      <c r="Y94" s="8"/>
      <c r="Z94" s="8"/>
      <c r="AA94" s="8"/>
      <c r="AB94" s="8"/>
      <c r="AC94" s="8"/>
      <c r="AD94" s="8"/>
      <c r="AE94" s="8"/>
      <c r="AF94" s="8"/>
      <c r="AG94" s="8"/>
      <c r="AH94" s="8"/>
      <c r="AI94" s="8"/>
      <c r="AJ94" s="8"/>
    </row>
    <row r="95" spans="3:36" s="6" customFormat="1" x14ac:dyDescent="0.25">
      <c r="C95" s="8"/>
      <c r="D95" s="195"/>
      <c r="E95" s="195"/>
      <c r="F95" s="195"/>
      <c r="G95" s="195"/>
      <c r="H95" s="377"/>
      <c r="I95" s="377"/>
      <c r="J95" s="377"/>
      <c r="K95" s="195"/>
      <c r="L95" s="195"/>
      <c r="M95" s="195"/>
      <c r="N95" s="195"/>
      <c r="O95" s="8"/>
      <c r="P95" s="8"/>
      <c r="Q95" s="8"/>
      <c r="R95" s="8"/>
      <c r="S95" s="8"/>
      <c r="T95" s="8"/>
      <c r="U95" s="8"/>
      <c r="V95" s="8"/>
      <c r="W95" s="8"/>
      <c r="X95" s="8"/>
      <c r="Y95" s="8"/>
      <c r="Z95" s="8"/>
      <c r="AA95" s="8"/>
      <c r="AB95" s="8"/>
      <c r="AC95" s="8"/>
      <c r="AD95" s="8"/>
      <c r="AE95" s="8"/>
      <c r="AF95" s="8"/>
      <c r="AG95" s="8"/>
      <c r="AH95" s="8"/>
      <c r="AI95" s="8"/>
      <c r="AJ95" s="8"/>
    </row>
    <row r="96" spans="3:36" s="6" customFormat="1" x14ac:dyDescent="0.25">
      <c r="C96" s="8"/>
      <c r="D96" s="8"/>
      <c r="E96" s="8"/>
      <c r="F96" s="8"/>
      <c r="G96" s="8"/>
      <c r="H96" s="234"/>
      <c r="I96" s="234"/>
      <c r="J96" s="234"/>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3:36" s="6" customFormat="1" x14ac:dyDescent="0.25">
      <c r="C97" s="8"/>
      <c r="D97" s="8"/>
      <c r="E97" s="8"/>
      <c r="F97" s="8"/>
      <c r="G97" s="8"/>
      <c r="H97" s="234"/>
      <c r="I97" s="234"/>
      <c r="J97" s="234"/>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3:36" s="6" customFormat="1" x14ac:dyDescent="0.25">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3:36" s="6" customFormat="1" x14ac:dyDescent="0.25">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3:36" s="6" customFormat="1" x14ac:dyDescent="0.25">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3:36" s="6" customFormat="1" x14ac:dyDescent="0.25">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3:36" s="6" customFormat="1" x14ac:dyDescent="0.25">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3:36" s="6" customFormat="1" x14ac:dyDescent="0.25">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3:36" s="6" customFormat="1" x14ac:dyDescent="0.25">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3:36" s="6" customFormat="1" x14ac:dyDescent="0.25">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3:36" s="6" customFormat="1" x14ac:dyDescent="0.25">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3:36" s="6" customFormat="1" x14ac:dyDescent="0.25">
      <c r="C107" s="8"/>
      <c r="D107" s="8"/>
      <c r="E107" s="8"/>
      <c r="F107" s="8"/>
      <c r="G107" s="8"/>
      <c r="H107" s="8"/>
      <c r="I107" s="8"/>
      <c r="J107" s="8"/>
      <c r="K107" s="8"/>
      <c r="L107" s="8"/>
      <c r="M107" s="8"/>
      <c r="N107" s="8"/>
      <c r="O107" s="8"/>
      <c r="P107" s="8"/>
      <c r="Q107" s="8"/>
      <c r="R107" s="8"/>
      <c r="S107" s="8"/>
      <c r="T107" s="8"/>
      <c r="U107" s="8"/>
      <c r="V107" s="8"/>
      <c r="W107" s="8"/>
      <c r="X107" s="8"/>
      <c r="Y107" s="8"/>
    </row>
    <row r="108" spans="3:36" s="6" customFormat="1" x14ac:dyDescent="0.25">
      <c r="C108" s="8"/>
      <c r="D108" s="8"/>
      <c r="E108" s="8"/>
      <c r="F108" s="8"/>
      <c r="G108" s="8"/>
      <c r="H108" s="8"/>
      <c r="I108" s="8"/>
      <c r="J108" s="8"/>
      <c r="K108" s="8"/>
      <c r="L108" s="8"/>
      <c r="M108" s="8"/>
      <c r="N108" s="8"/>
      <c r="O108" s="8"/>
      <c r="P108" s="8"/>
      <c r="Q108" s="8"/>
      <c r="R108" s="8"/>
      <c r="S108" s="8"/>
      <c r="T108" s="8"/>
      <c r="U108" s="8"/>
      <c r="V108" s="8"/>
      <c r="W108" s="8"/>
      <c r="X108" s="8"/>
      <c r="Y108" s="8"/>
    </row>
    <row r="109" spans="3:36" s="6" customFormat="1" x14ac:dyDescent="0.25">
      <c r="C109" s="8"/>
      <c r="D109" s="8"/>
      <c r="E109" s="8"/>
      <c r="F109" s="8"/>
      <c r="G109" s="8"/>
      <c r="H109" s="8"/>
      <c r="I109" s="8"/>
      <c r="J109" s="8"/>
      <c r="K109" s="8"/>
      <c r="L109" s="8"/>
      <c r="M109" s="8"/>
      <c r="N109" s="8"/>
      <c r="O109" s="8"/>
      <c r="P109" s="8"/>
      <c r="Q109" s="8"/>
      <c r="R109" s="8"/>
      <c r="S109" s="8"/>
      <c r="T109" s="8"/>
      <c r="U109" s="8"/>
      <c r="V109" s="8"/>
      <c r="W109" s="8"/>
      <c r="X109" s="8"/>
      <c r="Y109" s="8"/>
    </row>
    <row r="110" spans="3:36" s="6" customFormat="1" x14ac:dyDescent="0.25">
      <c r="C110" s="8"/>
      <c r="D110" s="8"/>
      <c r="E110" s="8"/>
      <c r="F110" s="8"/>
      <c r="G110" s="8"/>
      <c r="H110" s="8"/>
      <c r="I110" s="8"/>
      <c r="J110" s="8"/>
      <c r="K110" s="8"/>
      <c r="L110" s="8"/>
      <c r="M110" s="8"/>
      <c r="N110" s="8"/>
      <c r="O110" s="8"/>
      <c r="P110" s="8"/>
      <c r="Q110" s="8"/>
      <c r="R110" s="8"/>
      <c r="S110" s="8"/>
      <c r="T110" s="8"/>
      <c r="U110" s="8"/>
      <c r="V110" s="8"/>
      <c r="W110" s="8"/>
      <c r="X110" s="8"/>
      <c r="Y110" s="8"/>
    </row>
    <row r="111" spans="3:36" s="6" customFormat="1" x14ac:dyDescent="0.25"/>
    <row r="112" spans="3:36"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pans="8:10" s="6" customFormat="1" x14ac:dyDescent="0.25"/>
    <row r="258" spans="8:10" s="6" customFormat="1" x14ac:dyDescent="0.25"/>
    <row r="259" spans="8:10" s="6" customFormat="1" x14ac:dyDescent="0.25"/>
    <row r="260" spans="8:10" s="6" customFormat="1" x14ac:dyDescent="0.25"/>
    <row r="261" spans="8:10" s="6" customFormat="1" x14ac:dyDescent="0.25"/>
    <row r="262" spans="8:10" s="6" customFormat="1" x14ac:dyDescent="0.25"/>
    <row r="263" spans="8:10" s="6" customFormat="1" x14ac:dyDescent="0.25"/>
    <row r="264" spans="8:10" s="6" customFormat="1" x14ac:dyDescent="0.25"/>
    <row r="265" spans="8:10" s="6" customFormat="1" x14ac:dyDescent="0.25"/>
    <row r="266" spans="8:10" s="6" customFormat="1" x14ac:dyDescent="0.25"/>
    <row r="267" spans="8:10" s="6" customFormat="1" x14ac:dyDescent="0.25"/>
    <row r="268" spans="8:10" x14ac:dyDescent="0.25">
      <c r="H268" s="6"/>
      <c r="I268" s="6"/>
      <c r="J268" s="6"/>
    </row>
  </sheetData>
  <sheetProtection password="C6AA" sheet="1" formatCells="0" formatColumns="0" formatRows="0" insertColumns="0" insertRows="0" insertHyperlinks="0" deleteColumns="0" deleteRows="0" sort="0" autoFilter="0" pivotTables="0"/>
  <mergeCells count="9">
    <mergeCell ref="B43:D43"/>
    <mergeCell ref="B44:B45"/>
    <mergeCell ref="H60:J61"/>
    <mergeCell ref="H85:J95"/>
    <mergeCell ref="H59:J59"/>
    <mergeCell ref="B61:D61"/>
    <mergeCell ref="H76:J79"/>
    <mergeCell ref="H84:J84"/>
    <mergeCell ref="B59:D59"/>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249977111117893"/>
  </sheetPr>
  <dimension ref="A1:BG268"/>
  <sheetViews>
    <sheetView zoomScaleNormal="100" workbookViewId="0">
      <selection activeCell="C7" sqref="C7"/>
    </sheetView>
  </sheetViews>
  <sheetFormatPr baseColWidth="10" defaultRowHeight="12.5" x14ac:dyDescent="0.25"/>
  <cols>
    <col min="1" max="1" width="2.1796875" style="8" customWidth="1"/>
    <col min="2" max="2" width="76" customWidth="1"/>
    <col min="3" max="3" width="18.1796875" customWidth="1"/>
    <col min="4" max="4" width="1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36.75" customHeight="1" thickBot="1" x14ac:dyDescent="0.3">
      <c r="A2" s="107"/>
      <c r="B2" s="100" t="s">
        <v>65</v>
      </c>
      <c r="C2" s="126"/>
      <c r="D2" s="128"/>
      <c r="E2" s="130"/>
      <c r="F2" s="127"/>
      <c r="G2" s="127"/>
      <c r="H2" s="129"/>
      <c r="I2" s="101"/>
      <c r="J2" s="102"/>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14" t="s">
        <v>3</v>
      </c>
      <c r="C5" s="15" t="s">
        <v>4</v>
      </c>
      <c r="D5" s="71"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16"/>
      <c r="C6" s="17"/>
      <c r="D6" s="72"/>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211" t="s">
        <v>10</v>
      </c>
      <c r="C7" s="190">
        <v>0</v>
      </c>
      <c r="D7" s="21"/>
      <c r="E7" s="103"/>
      <c r="F7" s="42"/>
      <c r="G7" s="112"/>
      <c r="H7" s="80"/>
      <c r="I7" s="79"/>
      <c r="J7" s="25"/>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212" t="s">
        <v>29</v>
      </c>
      <c r="C8" s="187">
        <v>0</v>
      </c>
      <c r="D8" s="22"/>
      <c r="E8" s="103"/>
      <c r="F8" s="42"/>
      <c r="G8" s="112"/>
      <c r="H8" s="82" t="s">
        <v>58</v>
      </c>
      <c r="I8" s="36"/>
      <c r="J8" s="26"/>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212" t="s">
        <v>87</v>
      </c>
      <c r="C9" s="187">
        <v>0</v>
      </c>
      <c r="D9" s="22"/>
      <c r="E9" s="103"/>
      <c r="F9" s="42"/>
      <c r="G9" s="112"/>
      <c r="H9" s="83" t="s">
        <v>45</v>
      </c>
      <c r="I9" s="51"/>
      <c r="J9" s="73">
        <f>PRODUCT($C$10,5.13)</f>
        <v>0</v>
      </c>
      <c r="K9" s="114"/>
      <c r="L9" s="105">
        <f>IF(C13&gt;19.5,19.5,C13)</f>
        <v>19.5</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213" t="s">
        <v>50</v>
      </c>
      <c r="C10" s="210">
        <f>C7-C8-C9</f>
        <v>0</v>
      </c>
      <c r="D10" s="23"/>
      <c r="E10" s="103"/>
      <c r="F10" s="42"/>
      <c r="G10" s="112"/>
      <c r="H10" s="80" t="s">
        <v>59</v>
      </c>
      <c r="I10" s="79"/>
      <c r="J10" s="25"/>
      <c r="K10" s="114"/>
      <c r="L10" s="105">
        <f>IF(C16&gt;25.9,25.9,C16)</f>
        <v>25.9</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221" t="s">
        <v>37</v>
      </c>
      <c r="C11" s="217">
        <v>0</v>
      </c>
      <c r="D11" s="61">
        <f>(C11*D13)/(C13)</f>
        <v>0</v>
      </c>
      <c r="E11" s="103"/>
      <c r="F11" s="42"/>
      <c r="G11" s="112"/>
      <c r="H11" s="27" t="s">
        <v>46</v>
      </c>
      <c r="I11" s="28"/>
      <c r="J11" s="29">
        <f>PRODUCT($C$10,20.5)-J9</f>
        <v>0</v>
      </c>
      <c r="K11" s="114"/>
      <c r="L11" s="105">
        <f>IF(C17&gt;16.15,16.15,C17)</f>
        <v>16.149999999999999</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222" t="s">
        <v>38</v>
      </c>
      <c r="C12" s="217">
        <v>0</v>
      </c>
      <c r="D12" s="62">
        <f>(C12*D13)/(C13)</f>
        <v>0</v>
      </c>
      <c r="E12" s="103"/>
      <c r="F12" s="42"/>
      <c r="G12" s="112"/>
      <c r="H12" s="76" t="s">
        <v>12</v>
      </c>
      <c r="I12" s="77"/>
      <c r="J12" s="78">
        <f>-D18</f>
        <v>0</v>
      </c>
      <c r="K12" s="114"/>
      <c r="L12" s="105"/>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223" t="s">
        <v>62</v>
      </c>
      <c r="C13" s="60">
        <v>19.600000000000001</v>
      </c>
      <c r="D13" s="63">
        <f>L9</f>
        <v>19.5</v>
      </c>
      <c r="E13" s="103"/>
      <c r="F13" s="42"/>
      <c r="G13" s="112"/>
      <c r="H13" s="30" t="s">
        <v>11</v>
      </c>
      <c r="I13" s="31"/>
      <c r="J13" s="32">
        <f>J11-D18</f>
        <v>0</v>
      </c>
      <c r="K13" s="114"/>
      <c r="L13" s="105"/>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224" t="s">
        <v>39</v>
      </c>
      <c r="C14" s="217">
        <v>0</v>
      </c>
      <c r="D14" s="62">
        <f>(C14*D17)/(C17)</f>
        <v>0</v>
      </c>
      <c r="E14" s="103"/>
      <c r="F14" s="42"/>
      <c r="G14" s="112"/>
      <c r="H14" s="83" t="s">
        <v>122</v>
      </c>
      <c r="I14" s="51"/>
      <c r="J14" s="73">
        <f>IF(L15&lt;0,0,L15)</f>
        <v>0</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222" t="s">
        <v>40</v>
      </c>
      <c r="C15" s="218">
        <v>0</v>
      </c>
      <c r="D15" s="62">
        <f>(C15*D16)/(C16)</f>
        <v>0</v>
      </c>
      <c r="E15" s="103"/>
      <c r="F15" s="42"/>
      <c r="G15" s="112"/>
      <c r="H15" s="74" t="s">
        <v>1</v>
      </c>
      <c r="I15" s="75"/>
      <c r="J15" s="34">
        <f>(C10*20.5)-J9-J14</f>
        <v>0</v>
      </c>
      <c r="K15" s="114"/>
      <c r="L15" s="105">
        <f>J13*0.9</f>
        <v>0</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223" t="s">
        <v>63</v>
      </c>
      <c r="C16" s="93">
        <v>26</v>
      </c>
      <c r="D16" s="63">
        <f>L10</f>
        <v>25.9</v>
      </c>
      <c r="E16" s="103"/>
      <c r="F16" s="42"/>
      <c r="G16" s="42"/>
      <c r="H16" s="103"/>
      <c r="I16" s="103"/>
      <c r="J16" s="103"/>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223" t="s">
        <v>64</v>
      </c>
      <c r="C17" s="219">
        <v>16.2</v>
      </c>
      <c r="D17" s="64">
        <f>L11</f>
        <v>16.149999999999999</v>
      </c>
      <c r="E17" s="103"/>
      <c r="F17" s="42"/>
      <c r="G17" s="112"/>
      <c r="H17" s="52" t="s">
        <v>30</v>
      </c>
      <c r="I17" s="53"/>
      <c r="J17" s="73">
        <f>C8*20.5</f>
        <v>0</v>
      </c>
      <c r="K17" s="114"/>
      <c r="L17" s="105">
        <f>IF(L15&lt;L13,L15,L13)</f>
        <v>0</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225" t="s">
        <v>14</v>
      </c>
      <c r="C18" s="220"/>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211" t="s">
        <v>36</v>
      </c>
      <c r="C19" s="190">
        <v>0</v>
      </c>
      <c r="D19" s="184"/>
      <c r="E19" s="103"/>
      <c r="F19" s="42"/>
      <c r="G19" s="42"/>
      <c r="H19" s="103"/>
      <c r="I19" s="103"/>
      <c r="J19" s="103"/>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thickBot="1" x14ac:dyDescent="0.35">
      <c r="A20" s="109"/>
      <c r="B20" s="140" t="s">
        <v>18</v>
      </c>
      <c r="C20" s="187">
        <v>0</v>
      </c>
      <c r="D20" s="185"/>
      <c r="E20" s="103"/>
      <c r="F20" s="42"/>
      <c r="G20" s="42"/>
      <c r="H20" s="103"/>
      <c r="I20" s="103"/>
      <c r="J20" s="103"/>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89</v>
      </c>
      <c r="C21" s="187">
        <v>0</v>
      </c>
      <c r="D21" s="185"/>
      <c r="E21" s="103"/>
      <c r="F21" s="42"/>
      <c r="G21" s="110"/>
      <c r="H21" s="54" t="s">
        <v>128</v>
      </c>
      <c r="I21" s="55"/>
      <c r="J21" s="56"/>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thickBot="1" x14ac:dyDescent="0.35">
      <c r="A22" s="109"/>
      <c r="B22" s="140" t="s">
        <v>91</v>
      </c>
      <c r="C22" s="187">
        <v>0</v>
      </c>
      <c r="D22" s="185"/>
      <c r="E22" s="103"/>
      <c r="F22" s="42"/>
      <c r="G22" s="112"/>
      <c r="H22" s="160"/>
      <c r="I22" s="161"/>
      <c r="J22" s="162"/>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102</v>
      </c>
      <c r="C23" s="187">
        <v>0</v>
      </c>
      <c r="D23" s="185"/>
      <c r="E23" s="103"/>
      <c r="F23" s="42"/>
      <c r="G23" s="112"/>
      <c r="H23" s="165" t="s">
        <v>24</v>
      </c>
      <c r="I23" s="35" t="s">
        <v>55</v>
      </c>
      <c r="J23" s="24">
        <f>PRODUCT(SUM(C19,-C20,-C21,-C22,-C23,-C24),15.34)</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141" t="s">
        <v>90</v>
      </c>
      <c r="C24" s="187">
        <v>0</v>
      </c>
      <c r="D24" s="185"/>
      <c r="E24" s="103"/>
      <c r="F24" s="42"/>
      <c r="G24" s="112"/>
      <c r="H24" s="82" t="s">
        <v>20</v>
      </c>
      <c r="I24" s="36" t="s">
        <v>33</v>
      </c>
      <c r="J24" s="37">
        <f>PRODUCT(C20,61.35)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thickBot="1" x14ac:dyDescent="0.35">
      <c r="A25" s="109"/>
      <c r="B25" s="216" t="s">
        <v>138</v>
      </c>
      <c r="C25" s="190">
        <v>0</v>
      </c>
      <c r="D25" s="185"/>
      <c r="E25" s="103"/>
      <c r="F25" s="42"/>
      <c r="G25" s="112"/>
      <c r="H25" s="82" t="s">
        <v>21</v>
      </c>
      <c r="I25" s="36" t="s">
        <v>33</v>
      </c>
      <c r="J25" s="37">
        <f>PRODUCT(SUM(C21,C22),61.35)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0" t="s">
        <v>126</v>
      </c>
      <c r="C26" s="214">
        <v>0</v>
      </c>
      <c r="D26" s="185"/>
      <c r="E26" s="103"/>
      <c r="F26" s="42"/>
      <c r="G26" s="112"/>
      <c r="H26" s="82" t="s">
        <v>105</v>
      </c>
      <c r="I26" s="36" t="s">
        <v>33</v>
      </c>
      <c r="J26" s="168">
        <f>PRODUCT(C22,61.35)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40" t="s">
        <v>126</v>
      </c>
      <c r="C27" s="214">
        <v>0</v>
      </c>
      <c r="D27" s="185"/>
      <c r="E27" s="103"/>
      <c r="F27" s="42"/>
      <c r="G27" s="112"/>
      <c r="H27" s="82" t="s">
        <v>106</v>
      </c>
      <c r="I27" s="36" t="s">
        <v>69</v>
      </c>
      <c r="J27" s="168">
        <f>PRODUCT(C23,40.35)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thickBot="1" x14ac:dyDescent="0.35">
      <c r="A28" s="109"/>
      <c r="B28" s="142" t="s">
        <v>127</v>
      </c>
      <c r="C28" s="214">
        <v>0</v>
      </c>
      <c r="D28" s="185"/>
      <c r="E28" s="103"/>
      <c r="F28" s="42"/>
      <c r="G28" s="112"/>
      <c r="H28" s="82" t="s">
        <v>108</v>
      </c>
      <c r="I28" s="36" t="s">
        <v>70</v>
      </c>
      <c r="J28" s="168">
        <f>PRODUCT(SUM(C25,-C26,-C27),25)</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thickBot="1" x14ac:dyDescent="0.35">
      <c r="A29" s="109"/>
      <c r="B29" s="216" t="s">
        <v>8</v>
      </c>
      <c r="C29" s="215">
        <v>0</v>
      </c>
      <c r="D29" s="185"/>
      <c r="E29" s="103"/>
      <c r="F29" s="42"/>
      <c r="G29" s="112"/>
      <c r="H29" s="82" t="s">
        <v>129</v>
      </c>
      <c r="I29" s="36" t="s">
        <v>123</v>
      </c>
      <c r="J29" s="168">
        <f>PRODUCT(C26,10)</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thickBot="1" x14ac:dyDescent="0.35">
      <c r="A30" s="109"/>
      <c r="B30" s="140" t="s">
        <v>18</v>
      </c>
      <c r="C30" s="187">
        <v>0</v>
      </c>
      <c r="D30" s="185"/>
      <c r="E30" s="103"/>
      <c r="F30" s="42"/>
      <c r="G30" s="112"/>
      <c r="H30" s="82" t="s">
        <v>130</v>
      </c>
      <c r="I30" s="36" t="s">
        <v>124</v>
      </c>
      <c r="J30" s="168">
        <f>PRODUCT(C27,4)</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thickBot="1" x14ac:dyDescent="0.35">
      <c r="A31" s="109"/>
      <c r="B31" s="140" t="s">
        <v>89</v>
      </c>
      <c r="C31" s="187">
        <v>0</v>
      </c>
      <c r="D31" s="185"/>
      <c r="E31" s="103"/>
      <c r="F31" s="42"/>
      <c r="G31" s="112"/>
      <c r="H31" s="166" t="s">
        <v>25</v>
      </c>
      <c r="I31" s="36" t="s">
        <v>56</v>
      </c>
      <c r="J31" s="38">
        <f>PRODUCT(SUM(C28,-C29,-C30,-C31,-C32,-C33,-C34),1.38)</f>
        <v>0</v>
      </c>
      <c r="K31" s="111"/>
      <c r="L31" s="105"/>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0" t="s">
        <v>91</v>
      </c>
      <c r="C32" s="187">
        <v>0</v>
      </c>
      <c r="D32" s="185"/>
      <c r="E32" s="103"/>
      <c r="F32" s="42"/>
      <c r="G32" s="112"/>
      <c r="H32" s="82" t="s">
        <v>22</v>
      </c>
      <c r="I32" s="36" t="s">
        <v>34</v>
      </c>
      <c r="J32" s="37">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41" t="s">
        <v>103</v>
      </c>
      <c r="C33" s="187">
        <v>0</v>
      </c>
      <c r="D33" s="185"/>
      <c r="E33" s="103"/>
      <c r="F33" s="42"/>
      <c r="G33" s="112"/>
      <c r="H33" s="82" t="s">
        <v>23</v>
      </c>
      <c r="I33" s="36" t="s">
        <v>34</v>
      </c>
      <c r="J33" s="37">
        <f>PRODUCT(SUM(C30,C31),5.5)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thickBot="1" x14ac:dyDescent="0.35">
      <c r="A34" s="109"/>
      <c r="B34" s="141" t="s">
        <v>92</v>
      </c>
      <c r="C34" s="187">
        <v>0</v>
      </c>
      <c r="D34" s="185"/>
      <c r="E34" s="103"/>
      <c r="F34" s="42"/>
      <c r="G34" s="112"/>
      <c r="H34" s="82" t="s">
        <v>104</v>
      </c>
      <c r="I34" s="36" t="s">
        <v>34</v>
      </c>
      <c r="J34" s="37">
        <f>PRODUCT(C32,5.5)</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thickBot="1" x14ac:dyDescent="0.35">
      <c r="A35" s="109"/>
      <c r="B35" s="141" t="s">
        <v>93</v>
      </c>
      <c r="C35" s="187">
        <v>0</v>
      </c>
      <c r="D35" s="185"/>
      <c r="E35" s="103"/>
      <c r="F35" s="42"/>
      <c r="G35" s="112"/>
      <c r="H35" s="82" t="s">
        <v>95</v>
      </c>
      <c r="I35" s="36" t="s">
        <v>73</v>
      </c>
      <c r="J35" s="168">
        <f>PRODUCT(C33,4.96)</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thickBot="1" x14ac:dyDescent="0.35">
      <c r="A36" s="109"/>
      <c r="B36" s="216" t="s">
        <v>9</v>
      </c>
      <c r="C36" s="190">
        <v>0</v>
      </c>
      <c r="D36" s="185"/>
      <c r="E36" s="103"/>
      <c r="F36" s="10"/>
      <c r="G36" s="10"/>
      <c r="H36" s="82" t="s">
        <v>96</v>
      </c>
      <c r="I36" s="36" t="s">
        <v>80</v>
      </c>
      <c r="J36" s="168">
        <f>PRODUCT(C34,4.42)</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thickBot="1" x14ac:dyDescent="0.35">
      <c r="A37" s="109"/>
      <c r="B37" s="139" t="s">
        <v>18</v>
      </c>
      <c r="C37" s="187">
        <v>0</v>
      </c>
      <c r="D37" s="185"/>
      <c r="E37" s="103"/>
      <c r="F37" s="42"/>
      <c r="G37" s="112"/>
      <c r="H37" s="166" t="s">
        <v>26</v>
      </c>
      <c r="I37" s="36" t="s">
        <v>57</v>
      </c>
      <c r="J37" s="38">
        <f>PRODUCT(SUM(C35,-C36,-C37,-C38,-C39,-C40,-C41),15.15)</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0" t="s">
        <v>89</v>
      </c>
      <c r="C38" s="187">
        <v>0</v>
      </c>
      <c r="D38" s="185"/>
      <c r="E38" s="103"/>
      <c r="F38" s="42"/>
      <c r="G38" s="112"/>
      <c r="H38" s="82" t="s">
        <v>27</v>
      </c>
      <c r="I38" s="36" t="s">
        <v>35</v>
      </c>
      <c r="J38" s="37">
        <f>PRODUCT(C36,60.6)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5">
      <c r="A39" s="109"/>
      <c r="B39" s="140" t="s">
        <v>91</v>
      </c>
      <c r="C39" s="187">
        <v>0</v>
      </c>
      <c r="D39" s="185"/>
      <c r="E39" s="103"/>
      <c r="F39" s="42"/>
      <c r="G39" s="112"/>
      <c r="H39" s="82" t="s">
        <v>28</v>
      </c>
      <c r="I39" s="36" t="s">
        <v>35</v>
      </c>
      <c r="J39" s="37">
        <f>PRODUCT(SUM(C37,C38),60.6)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thickBot="1" x14ac:dyDescent="0.35">
      <c r="A40" s="109"/>
      <c r="B40" s="140" t="s">
        <v>103</v>
      </c>
      <c r="C40" s="187">
        <v>0</v>
      </c>
      <c r="D40" s="185"/>
      <c r="E40" s="103"/>
      <c r="F40" s="42"/>
      <c r="G40" s="112"/>
      <c r="H40" s="82" t="s">
        <v>107</v>
      </c>
      <c r="I40" s="36" t="s">
        <v>35</v>
      </c>
      <c r="J40" s="37">
        <f>PRODUCT(C39,60.6)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18" customHeight="1" thickBot="1" x14ac:dyDescent="0.35">
      <c r="A41" s="109"/>
      <c r="B41" s="140" t="s">
        <v>94</v>
      </c>
      <c r="C41" s="187">
        <v>0</v>
      </c>
      <c r="D41" s="185"/>
      <c r="E41" s="103"/>
      <c r="F41" s="10"/>
      <c r="G41" s="10"/>
      <c r="H41" s="82" t="s">
        <v>97</v>
      </c>
      <c r="I41" s="36" t="s">
        <v>35</v>
      </c>
      <c r="J41" s="168">
        <f>PRODUCT(C40,60.6)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18" customHeight="1" thickBot="1" x14ac:dyDescent="0.35">
      <c r="A42" s="109"/>
      <c r="B42" s="143" t="s">
        <v>93</v>
      </c>
      <c r="C42" s="187">
        <v>0</v>
      </c>
      <c r="D42" s="186"/>
      <c r="E42" s="103"/>
      <c r="F42" s="103"/>
      <c r="G42" s="103"/>
      <c r="H42" s="82" t="s">
        <v>98</v>
      </c>
      <c r="I42" s="36" t="s">
        <v>77</v>
      </c>
      <c r="J42" s="168">
        <f>PRODUCT(C41,19.6)</f>
        <v>0</v>
      </c>
      <c r="K42" s="111"/>
      <c r="L42" s="106"/>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0.25" customHeight="1" thickBot="1" x14ac:dyDescent="0.3">
      <c r="A43" s="109"/>
      <c r="B43" s="103"/>
      <c r="C43" s="103"/>
      <c r="D43" s="103"/>
      <c r="E43" s="103"/>
      <c r="F43" s="42"/>
      <c r="G43" s="42"/>
      <c r="H43" s="167" t="s">
        <v>48</v>
      </c>
      <c r="I43" s="206"/>
      <c r="J43" s="207">
        <v>0</v>
      </c>
      <c r="K43" s="111"/>
      <c r="L43" s="105"/>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34.5" customHeight="1" thickBot="1" x14ac:dyDescent="0.4">
      <c r="A44" s="109"/>
      <c r="B44" s="390" t="s">
        <v>140</v>
      </c>
      <c r="C44" s="261" t="s">
        <v>118</v>
      </c>
      <c r="D44" s="262"/>
      <c r="E44" s="103"/>
      <c r="F44" s="42"/>
      <c r="G44" s="42"/>
      <c r="H44" s="205" t="s">
        <v>41</v>
      </c>
      <c r="I44" s="163"/>
      <c r="J44" s="164">
        <f>IF(SUM(J23,J31,J37)&gt;0,SUM(J23:J43),SUM(J24:J30,J32:J36,J38:J42))</f>
        <v>0</v>
      </c>
      <c r="K44" s="111"/>
      <c r="L44" s="89"/>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21" customHeight="1" thickBot="1" x14ac:dyDescent="0.35">
      <c r="A45" s="109"/>
      <c r="B45" s="309"/>
      <c r="C45" s="250">
        <f>SUM(C50:C52)</f>
        <v>0</v>
      </c>
      <c r="D45" s="257" t="s">
        <v>114</v>
      </c>
      <c r="E45" s="103"/>
      <c r="F45" s="103"/>
      <c r="G45" s="103"/>
      <c r="H45" s="103"/>
      <c r="I45" s="103"/>
      <c r="J45" s="103"/>
      <c r="K45" s="111"/>
      <c r="L45" s="193">
        <f>J50*0.9</f>
        <v>0</v>
      </c>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3">
      <c r="A46" s="109"/>
      <c r="B46" s="139" t="s">
        <v>89</v>
      </c>
      <c r="C46" s="246">
        <v>0</v>
      </c>
      <c r="D46" s="239"/>
      <c r="E46" s="103"/>
      <c r="F46" s="42"/>
      <c r="G46" s="42"/>
      <c r="H46" s="235" t="s">
        <v>99</v>
      </c>
      <c r="I46" s="232"/>
      <c r="J46" s="233"/>
      <c r="K46" s="111"/>
      <c r="L46" s="193">
        <f>SUM((J7+J46)-D14)*0.9</f>
        <v>0</v>
      </c>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87"/>
      <c r="AL46" s="87"/>
      <c r="AM46" s="87"/>
      <c r="AN46" s="87"/>
      <c r="AO46" s="87"/>
      <c r="AP46" s="87"/>
      <c r="AQ46" s="87"/>
      <c r="AR46" s="87"/>
      <c r="AS46" s="87"/>
      <c r="AT46" s="87"/>
      <c r="AU46" s="87"/>
      <c r="AV46" s="87"/>
      <c r="AW46" s="87"/>
      <c r="AX46" s="87"/>
      <c r="AY46" s="87"/>
      <c r="AZ46" s="87"/>
      <c r="BA46" s="87"/>
      <c r="BB46" s="87"/>
      <c r="BC46" s="87"/>
      <c r="BD46" s="87"/>
      <c r="BE46" s="87"/>
      <c r="BF46" s="87"/>
      <c r="BG46" s="87"/>
    </row>
    <row r="47" spans="1:59" ht="18" hidden="1" customHeight="1" x14ac:dyDescent="0.3">
      <c r="A47" s="109"/>
      <c r="B47" s="140" t="s">
        <v>103</v>
      </c>
      <c r="C47" s="244">
        <v>0</v>
      </c>
      <c r="D47" s="239"/>
      <c r="E47" s="103"/>
      <c r="F47" s="42"/>
      <c r="G47" s="112"/>
      <c r="H47" s="33" t="s">
        <v>49</v>
      </c>
      <c r="I47" s="209"/>
      <c r="J47" s="196">
        <f>SUM(PRODUCT(SUM(C22,-C23,-C24,-C25,-C27),5.11),PRODUCT(SUM(C30,-C31,-C32,-C33,-C34,-C35),2.28),PRODUCT(SUM(C36,-C37,-C38,-C39,-C40,-C41),19.89),0)</f>
        <v>0</v>
      </c>
      <c r="K47" s="111"/>
      <c r="L47" s="200"/>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87"/>
      <c r="AL47" s="87"/>
      <c r="AM47" s="87"/>
      <c r="AN47" s="87"/>
      <c r="AO47" s="87"/>
      <c r="AP47" s="87"/>
      <c r="AQ47" s="87"/>
      <c r="AR47" s="87"/>
      <c r="AS47" s="87"/>
      <c r="AT47" s="87"/>
      <c r="AU47" s="87"/>
      <c r="AV47" s="87"/>
      <c r="AW47" s="87"/>
      <c r="AX47" s="87"/>
      <c r="AY47" s="87"/>
      <c r="AZ47" s="87"/>
      <c r="BA47" s="87"/>
      <c r="BB47" s="87"/>
      <c r="BC47" s="87"/>
      <c r="BD47" s="87"/>
      <c r="BE47" s="87"/>
      <c r="BF47" s="87"/>
      <c r="BG47" s="87"/>
    </row>
    <row r="48" spans="1:59" ht="18" hidden="1" customHeight="1" x14ac:dyDescent="0.35">
      <c r="A48" s="109"/>
      <c r="B48" s="242"/>
      <c r="C48" s="242"/>
      <c r="D48" s="111"/>
      <c r="E48" s="103"/>
      <c r="F48" s="42"/>
      <c r="G48" s="112"/>
      <c r="H48" s="175" t="s">
        <v>0</v>
      </c>
      <c r="I48" s="208"/>
      <c r="J48" s="164">
        <f>IF(L52&gt;L48,IF(L48&lt;0,0,L48),IF(L52&lt;0,0,L52))</f>
        <v>0</v>
      </c>
      <c r="K48" s="111"/>
      <c r="L48" s="200"/>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87"/>
      <c r="AL48" s="87"/>
      <c r="AM48" s="87"/>
      <c r="AN48" s="87"/>
      <c r="AO48" s="87"/>
      <c r="AP48" s="87"/>
      <c r="AQ48" s="87"/>
      <c r="AR48" s="87"/>
      <c r="AS48" s="87"/>
      <c r="AT48" s="87"/>
      <c r="AU48" s="87"/>
      <c r="AV48" s="87"/>
      <c r="AW48" s="87"/>
      <c r="AX48" s="87"/>
      <c r="AY48" s="87"/>
      <c r="AZ48" s="87"/>
      <c r="BA48" s="87"/>
      <c r="BB48" s="87"/>
      <c r="BC48" s="87"/>
      <c r="BD48" s="87"/>
      <c r="BE48" s="87"/>
      <c r="BF48" s="87"/>
      <c r="BG48" s="87"/>
    </row>
    <row r="49" spans="1:59" s="6" customFormat="1" ht="20.25" customHeight="1" thickBot="1" x14ac:dyDescent="0.4">
      <c r="A49" s="115"/>
      <c r="B49" s="247" t="s">
        <v>113</v>
      </c>
      <c r="C49" s="248"/>
      <c r="D49" s="249"/>
      <c r="E49" s="118"/>
      <c r="F49" s="118"/>
      <c r="G49" s="118"/>
      <c r="H49" s="236" t="s">
        <v>121</v>
      </c>
      <c r="I49" s="237"/>
      <c r="J49" s="73">
        <f>IF(L49&gt;L45,IF(L45&lt;0,0,L45),IF(L49&lt;0,0,L49))</f>
        <v>0</v>
      </c>
      <c r="K49" s="157"/>
      <c r="L49" s="201">
        <f>SUM((J11+J50)-D18)*0.9</f>
        <v>0</v>
      </c>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87"/>
      <c r="AL49" s="87"/>
      <c r="AM49" s="87"/>
      <c r="AN49" s="87"/>
      <c r="AO49" s="87"/>
      <c r="AP49" s="87"/>
      <c r="AQ49" s="87"/>
      <c r="AR49" s="87"/>
      <c r="AS49" s="87"/>
      <c r="AT49" s="87"/>
      <c r="AU49" s="87"/>
      <c r="AV49" s="87"/>
      <c r="AW49" s="87"/>
      <c r="AX49" s="87"/>
      <c r="AY49" s="87"/>
      <c r="AZ49" s="87"/>
      <c r="BA49" s="87"/>
      <c r="BB49" s="87"/>
      <c r="BC49" s="87"/>
      <c r="BD49" s="87"/>
      <c r="BE49" s="87"/>
      <c r="BF49" s="87"/>
      <c r="BG49" s="87"/>
    </row>
    <row r="50" spans="1:59" s="6" customFormat="1" ht="20.25" customHeight="1" thickBot="1" x14ac:dyDescent="0.35">
      <c r="A50" s="115"/>
      <c r="B50" s="156" t="s">
        <v>110</v>
      </c>
      <c r="C50" s="243">
        <v>0</v>
      </c>
      <c r="D50" s="240"/>
      <c r="E50" s="118"/>
      <c r="F50" s="118"/>
      <c r="G50" s="118"/>
      <c r="H50" s="33" t="s">
        <v>47</v>
      </c>
      <c r="I50" s="39"/>
      <c r="J50" s="251">
        <f>SUM(PRODUCT(SUM(C19-C20-C21-C22-C23-C24),5.11),PRODUCT(SUM(C28-C29-C30-C31-C32,-C33,-C34),2.28),PRODUCT(SUM(C35-C36-C37,-C38,-C39-C40-C41),19.89))</f>
        <v>0</v>
      </c>
      <c r="K50" s="116"/>
      <c r="L50" s="202"/>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89"/>
      <c r="AL50" s="89"/>
      <c r="AM50" s="89"/>
      <c r="AN50" s="89"/>
      <c r="AO50" s="89"/>
      <c r="AP50" s="89"/>
      <c r="AQ50" s="89"/>
      <c r="AR50" s="89"/>
      <c r="AS50" s="89"/>
      <c r="AT50" s="89"/>
      <c r="AU50" s="89"/>
      <c r="AV50" s="89"/>
      <c r="AW50" s="89"/>
      <c r="AX50" s="89"/>
      <c r="AY50" s="89"/>
      <c r="AZ50" s="89"/>
      <c r="BA50" s="89"/>
      <c r="BB50" s="89"/>
      <c r="BC50" s="89"/>
      <c r="BD50" s="89"/>
      <c r="BE50" s="89"/>
      <c r="BF50" s="89"/>
      <c r="BG50" s="89"/>
    </row>
    <row r="51" spans="1:59" s="6" customFormat="1" ht="20.25" customHeight="1" thickBot="1" x14ac:dyDescent="0.35">
      <c r="A51" s="115"/>
      <c r="B51" s="140" t="s">
        <v>111</v>
      </c>
      <c r="C51" s="244">
        <v>0</v>
      </c>
      <c r="D51" s="239"/>
      <c r="E51" s="118"/>
      <c r="F51" s="118"/>
      <c r="G51" s="118"/>
      <c r="H51" s="103"/>
      <c r="I51" s="103"/>
      <c r="J51" s="103"/>
      <c r="K51" s="116"/>
      <c r="L51" s="202"/>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89"/>
      <c r="AL51" s="89"/>
      <c r="AM51" s="89"/>
      <c r="AN51" s="89"/>
      <c r="AO51" s="89"/>
      <c r="AP51" s="89"/>
      <c r="AQ51" s="89"/>
      <c r="AR51" s="89"/>
      <c r="AS51" s="89"/>
      <c r="AT51" s="89"/>
      <c r="AU51" s="89"/>
      <c r="AV51" s="89"/>
      <c r="AW51" s="89"/>
      <c r="AX51" s="89"/>
      <c r="AY51" s="89"/>
      <c r="AZ51" s="89"/>
      <c r="BA51" s="89"/>
      <c r="BB51" s="89"/>
      <c r="BC51" s="89"/>
      <c r="BD51" s="89"/>
      <c r="BE51" s="89"/>
      <c r="BF51" s="89"/>
      <c r="BG51" s="89"/>
    </row>
    <row r="52" spans="1:59" s="6" customFormat="1" ht="21.75" customHeight="1" thickBot="1" x14ac:dyDescent="0.4">
      <c r="A52" s="115"/>
      <c r="B52" s="143" t="s">
        <v>112</v>
      </c>
      <c r="C52" s="245">
        <v>0</v>
      </c>
      <c r="D52" s="241"/>
      <c r="E52" s="118"/>
      <c r="F52" s="118"/>
      <c r="G52" s="118"/>
      <c r="H52" s="236" t="s">
        <v>115</v>
      </c>
      <c r="I52" s="237"/>
      <c r="J52" s="73">
        <f>IF(SUM(C50*(669.8-61.35),C51*(654.5-61.35),C52*(721-61.35))&lt;50,0,SUM(C50*(669.8-61.35),C51*(654.5-61.35),C52*(721-61.35)))</f>
        <v>0</v>
      </c>
      <c r="K52" s="116"/>
      <c r="L52" s="8"/>
      <c r="M52" s="8"/>
      <c r="N52" s="8"/>
      <c r="O52" s="8"/>
      <c r="P52" s="8"/>
      <c r="Q52" s="8"/>
      <c r="R52" s="8"/>
      <c r="S52" s="8"/>
      <c r="T52" s="8"/>
      <c r="U52" s="8"/>
      <c r="V52" s="8"/>
      <c r="W52" s="8"/>
      <c r="X52" s="8"/>
      <c r="Y52" s="8"/>
      <c r="Z52" s="8"/>
      <c r="AA52" s="8"/>
      <c r="AB52" s="8"/>
      <c r="AC52" s="8"/>
      <c r="AD52" s="8"/>
      <c r="AE52" s="8"/>
      <c r="AF52" s="8"/>
      <c r="AG52" s="8"/>
      <c r="AH52" s="8"/>
      <c r="AI52" s="8"/>
      <c r="AJ52" s="8"/>
    </row>
    <row r="53" spans="1:59" s="6" customFormat="1" ht="15.75" customHeight="1" thickBot="1" x14ac:dyDescent="0.35">
      <c r="A53" s="115"/>
      <c r="B53" s="103"/>
      <c r="C53" s="103"/>
      <c r="D53" s="103"/>
      <c r="E53" s="118"/>
      <c r="F53" s="118"/>
      <c r="G53" s="118"/>
      <c r="H53" s="103"/>
      <c r="I53" s="103"/>
      <c r="J53" s="103"/>
      <c r="K53" s="116"/>
      <c r="L53" s="8"/>
      <c r="M53" s="8"/>
      <c r="N53" s="8"/>
      <c r="O53" s="8"/>
      <c r="P53" s="8"/>
      <c r="Q53" s="8"/>
      <c r="R53" s="8"/>
      <c r="S53" s="8"/>
      <c r="T53" s="8"/>
      <c r="U53" s="8"/>
      <c r="V53" s="8"/>
      <c r="W53" s="8"/>
      <c r="X53" s="8"/>
      <c r="Y53" s="8"/>
      <c r="Z53" s="8"/>
      <c r="AA53" s="8"/>
      <c r="AB53" s="8"/>
      <c r="AC53" s="8"/>
      <c r="AD53" s="8"/>
      <c r="AE53" s="8"/>
      <c r="AF53" s="8"/>
      <c r="AG53" s="8"/>
      <c r="AH53" s="8"/>
      <c r="AI53" s="8"/>
      <c r="AJ53" s="8"/>
    </row>
    <row r="54" spans="1:59" s="6" customFormat="1" ht="16.5" customHeight="1" thickBot="1" x14ac:dyDescent="0.4">
      <c r="A54" s="115"/>
      <c r="B54" s="103"/>
      <c r="C54" s="103"/>
      <c r="D54" s="103"/>
      <c r="E54" s="104"/>
      <c r="F54" s="118"/>
      <c r="G54" s="118"/>
      <c r="H54" s="177" t="s">
        <v>31</v>
      </c>
      <c r="I54" s="178"/>
      <c r="J54" s="90">
        <f>SUM(J9,J14,J17,J18,J44,J49,J52)</f>
        <v>0</v>
      </c>
      <c r="K54" s="116"/>
      <c r="L54" s="8"/>
      <c r="M54" s="8"/>
      <c r="N54" s="8"/>
      <c r="O54" s="8"/>
      <c r="P54" s="8"/>
      <c r="Q54" s="8"/>
      <c r="R54" s="8"/>
      <c r="S54" s="8"/>
      <c r="T54" s="8"/>
      <c r="U54" s="8"/>
      <c r="V54" s="8"/>
      <c r="W54" s="8"/>
      <c r="X54" s="8"/>
      <c r="Y54" s="8"/>
      <c r="Z54" s="8"/>
      <c r="AA54" s="8"/>
      <c r="AB54" s="8"/>
      <c r="AC54" s="8"/>
      <c r="AD54" s="8"/>
      <c r="AE54" s="8"/>
      <c r="AF54" s="8"/>
      <c r="AG54" s="8"/>
      <c r="AH54" s="8"/>
      <c r="AI54" s="8"/>
      <c r="AJ54" s="8"/>
    </row>
    <row r="55" spans="1:59" s="6" customFormat="1" ht="18" customHeight="1" x14ac:dyDescent="0.3">
      <c r="A55" s="115"/>
      <c r="B55" s="103"/>
      <c r="C55" s="103"/>
      <c r="D55" s="103"/>
      <c r="E55" s="104"/>
      <c r="F55" s="118"/>
      <c r="G55" s="118"/>
      <c r="H55" s="179" t="s">
        <v>61</v>
      </c>
      <c r="I55" s="180"/>
      <c r="J55" s="135">
        <f>SUM(C7*20.5,C19*20.45,C25*25,C28*5.5,C35*60.6)</f>
        <v>0</v>
      </c>
      <c r="K55" s="116"/>
      <c r="L55" s="8"/>
      <c r="M55" s="8"/>
      <c r="N55" s="8"/>
      <c r="O55" s="8"/>
      <c r="P55" s="8"/>
      <c r="Q55" s="8"/>
      <c r="R55" s="8"/>
      <c r="S55" s="8"/>
      <c r="T55" s="8"/>
      <c r="U55" s="8"/>
      <c r="V55" s="8"/>
      <c r="W55" s="8"/>
      <c r="X55" s="8"/>
      <c r="Y55" s="8"/>
      <c r="Z55" s="8"/>
      <c r="AA55" s="8"/>
      <c r="AB55" s="8"/>
      <c r="AC55" s="8"/>
      <c r="AD55" s="8"/>
      <c r="AE55" s="8"/>
      <c r="AF55" s="8"/>
      <c r="AG55" s="8"/>
      <c r="AH55" s="8"/>
      <c r="AI55" s="8"/>
      <c r="AJ55" s="8"/>
    </row>
    <row r="56" spans="1:59" s="6" customFormat="1" ht="18" customHeight="1" thickBot="1" x14ac:dyDescent="0.35">
      <c r="A56" s="115"/>
      <c r="B56" s="238"/>
      <c r="C56" s="103"/>
      <c r="D56" s="103"/>
      <c r="E56" s="104"/>
      <c r="F56" s="118"/>
      <c r="G56" s="118"/>
      <c r="H56" s="181" t="s">
        <v>51</v>
      </c>
      <c r="I56" s="182"/>
      <c r="J56" s="91">
        <f>J55-J54+J52</f>
        <v>0</v>
      </c>
      <c r="K56" s="116"/>
      <c r="L56" s="8"/>
      <c r="M56" s="8"/>
      <c r="N56" s="8"/>
      <c r="O56" s="8"/>
      <c r="P56" s="8"/>
      <c r="Q56" s="8"/>
      <c r="R56" s="8"/>
      <c r="S56" s="8"/>
      <c r="T56" s="8"/>
      <c r="U56" s="8"/>
      <c r="V56" s="8"/>
      <c r="W56" s="8"/>
      <c r="X56" s="8"/>
      <c r="Y56" s="8"/>
      <c r="Z56" s="8"/>
      <c r="AA56" s="8"/>
      <c r="AB56" s="8"/>
      <c r="AC56" s="8"/>
      <c r="AD56" s="8"/>
      <c r="AE56" s="8"/>
      <c r="AF56" s="8"/>
      <c r="AG56" s="8"/>
      <c r="AH56" s="8"/>
      <c r="AI56" s="8"/>
      <c r="AJ56" s="8"/>
    </row>
    <row r="57" spans="1:59" s="6" customFormat="1" ht="13" x14ac:dyDescent="0.3">
      <c r="A57" s="115"/>
      <c r="B57" s="103"/>
      <c r="C57" s="103"/>
      <c r="D57" s="103"/>
      <c r="E57" s="104"/>
      <c r="F57" s="117"/>
      <c r="G57" s="104"/>
      <c r="H57" s="104"/>
      <c r="I57" s="118"/>
      <c r="J57" s="118"/>
      <c r="K57" s="116"/>
      <c r="L57" s="8"/>
      <c r="M57" s="8"/>
      <c r="N57" s="8"/>
      <c r="O57" s="8"/>
      <c r="P57" s="8"/>
      <c r="Q57" s="8"/>
      <c r="R57" s="8"/>
      <c r="S57" s="8"/>
      <c r="T57" s="8"/>
      <c r="U57" s="8"/>
      <c r="V57" s="8"/>
      <c r="W57" s="8"/>
      <c r="X57" s="8"/>
      <c r="Y57" s="8"/>
      <c r="Z57" s="8"/>
      <c r="AA57" s="8"/>
      <c r="AB57" s="8"/>
      <c r="AC57" s="8"/>
      <c r="AD57" s="8"/>
      <c r="AE57" s="8"/>
      <c r="AF57" s="8"/>
      <c r="AG57" s="8"/>
      <c r="AH57" s="8"/>
      <c r="AI57" s="8"/>
      <c r="AJ57" s="8"/>
    </row>
    <row r="58" spans="1:59" s="6" customFormat="1" ht="13.5" customHeight="1" thickBot="1" x14ac:dyDescent="0.35">
      <c r="A58" s="115"/>
      <c r="B58" s="103"/>
      <c r="C58" s="103"/>
      <c r="D58" s="103"/>
      <c r="E58" s="104"/>
      <c r="F58" s="118"/>
      <c r="G58" s="118"/>
      <c r="H58" s="118"/>
      <c r="I58" s="118"/>
      <c r="J58" s="118"/>
      <c r="K58" s="116"/>
      <c r="L58" s="8"/>
      <c r="M58" s="8"/>
      <c r="N58" s="8"/>
      <c r="O58" s="8"/>
      <c r="P58" s="8"/>
      <c r="Q58" s="8"/>
      <c r="R58" s="8"/>
      <c r="S58" s="8"/>
      <c r="T58" s="8"/>
      <c r="U58" s="8"/>
      <c r="V58" s="8"/>
      <c r="W58" s="8"/>
      <c r="X58" s="8"/>
      <c r="Y58" s="8"/>
      <c r="Z58" s="8"/>
      <c r="AA58" s="8"/>
      <c r="AB58" s="8"/>
      <c r="AC58" s="8"/>
      <c r="AD58" s="8"/>
      <c r="AE58" s="8"/>
      <c r="AF58" s="8"/>
      <c r="AG58" s="8"/>
      <c r="AH58" s="8"/>
      <c r="AI58" s="8"/>
      <c r="AJ58" s="8"/>
    </row>
    <row r="59" spans="1:59" ht="179.25" customHeight="1" thickBot="1" x14ac:dyDescent="0.35">
      <c r="A59" s="115"/>
      <c r="B59" s="387" t="s">
        <v>109</v>
      </c>
      <c r="C59" s="388"/>
      <c r="D59" s="389"/>
      <c r="E59" s="104"/>
      <c r="F59" s="199"/>
      <c r="G59" s="199"/>
      <c r="H59" s="378" t="s">
        <v>101</v>
      </c>
      <c r="I59" s="379"/>
      <c r="J59" s="380"/>
      <c r="K59" s="116"/>
      <c r="L59" s="8"/>
      <c r="M59" s="8"/>
      <c r="N59" s="8"/>
      <c r="O59" s="8"/>
      <c r="P59" s="8"/>
      <c r="Q59" s="8"/>
      <c r="R59" s="8"/>
      <c r="S59" s="8"/>
      <c r="T59" s="8"/>
      <c r="U59" s="8"/>
      <c r="V59" s="8"/>
      <c r="W59" s="8"/>
      <c r="X59" s="8"/>
      <c r="Y59" s="8"/>
      <c r="Z59" s="8"/>
      <c r="AA59" s="8"/>
      <c r="AB59" s="8"/>
      <c r="AC59" s="8"/>
      <c r="AD59" s="8"/>
      <c r="AE59" s="8"/>
      <c r="AF59" s="8"/>
      <c r="AG59" s="8"/>
      <c r="AH59" s="8"/>
      <c r="AI59" s="8"/>
      <c r="AJ59" s="8"/>
    </row>
    <row r="60" spans="1:59" ht="15" customHeight="1" thickBot="1" x14ac:dyDescent="0.35">
      <c r="A60" s="115"/>
      <c r="B60" s="103"/>
      <c r="C60" s="103"/>
      <c r="D60" s="103"/>
      <c r="E60" s="104"/>
      <c r="F60" s="199"/>
      <c r="G60" s="199"/>
      <c r="H60" s="372" t="s">
        <v>136</v>
      </c>
      <c r="I60" s="373"/>
      <c r="J60" s="304"/>
      <c r="K60" s="116"/>
      <c r="L60" s="8"/>
      <c r="M60" s="8"/>
      <c r="N60" s="8"/>
      <c r="O60" s="8"/>
      <c r="P60" s="8"/>
      <c r="Q60" s="8"/>
      <c r="R60" s="8"/>
      <c r="S60" s="8"/>
      <c r="T60" s="8"/>
      <c r="U60" s="8"/>
      <c r="V60" s="8"/>
      <c r="W60" s="8"/>
      <c r="X60" s="8"/>
      <c r="Y60" s="8"/>
      <c r="Z60" s="8"/>
      <c r="AA60" s="8"/>
      <c r="AB60" s="8"/>
      <c r="AC60" s="8"/>
      <c r="AD60" s="8"/>
      <c r="AE60" s="8"/>
      <c r="AF60" s="8"/>
      <c r="AG60" s="8"/>
      <c r="AH60" s="8"/>
      <c r="AI60" s="8"/>
      <c r="AJ60" s="8"/>
    </row>
    <row r="61" spans="1:59" ht="179.25" customHeight="1" thickBot="1" x14ac:dyDescent="0.35">
      <c r="A61" s="115"/>
      <c r="B61" s="381" t="s">
        <v>141</v>
      </c>
      <c r="C61" s="382"/>
      <c r="D61" s="383"/>
      <c r="E61" s="104"/>
      <c r="F61" s="104"/>
      <c r="G61" s="104"/>
      <c r="H61" s="374"/>
      <c r="I61" s="375"/>
      <c r="J61" s="305"/>
      <c r="K61" s="116"/>
      <c r="L61" s="8"/>
      <c r="M61" s="8"/>
      <c r="N61" s="8"/>
      <c r="O61" s="8"/>
      <c r="P61" s="8"/>
      <c r="Q61" s="8"/>
      <c r="R61" s="8"/>
      <c r="S61" s="8"/>
      <c r="T61" s="8"/>
      <c r="U61" s="8"/>
      <c r="V61" s="8"/>
      <c r="W61" s="8"/>
      <c r="X61" s="8"/>
      <c r="Y61" s="8"/>
      <c r="Z61" s="8"/>
      <c r="AA61" s="8"/>
      <c r="AB61" s="8"/>
      <c r="AC61" s="8"/>
      <c r="AD61" s="8"/>
      <c r="AE61" s="8"/>
      <c r="AF61" s="8"/>
      <c r="AG61" s="8"/>
      <c r="AH61" s="8"/>
      <c r="AI61" s="8"/>
      <c r="AJ61" s="8"/>
    </row>
    <row r="62" spans="1:59" s="8" customFormat="1" ht="13.5" thickBot="1" x14ac:dyDescent="0.35">
      <c r="A62" s="119"/>
      <c r="B62" s="121"/>
      <c r="C62" s="121"/>
      <c r="D62" s="121"/>
      <c r="E62" s="121"/>
      <c r="F62" s="121"/>
      <c r="G62" s="121"/>
      <c r="H62" s="121"/>
      <c r="I62" s="121"/>
      <c r="J62" s="121"/>
      <c r="K62" s="122"/>
    </row>
    <row r="63" spans="1:59" s="6" customFormat="1" ht="6.75" customHeight="1" x14ac:dyDescent="0.3">
      <c r="A63" s="9"/>
      <c r="B63" s="9"/>
      <c r="C63" s="9"/>
      <c r="D63" s="9"/>
      <c r="E63" s="9"/>
      <c r="F63" s="9"/>
      <c r="G63" s="9"/>
      <c r="H63" s="9"/>
      <c r="I63" s="9"/>
      <c r="J63" s="9"/>
      <c r="K63" s="9"/>
      <c r="L63" s="9"/>
      <c r="M63" s="8"/>
      <c r="N63" s="8"/>
      <c r="O63" s="8"/>
      <c r="P63" s="8"/>
      <c r="Q63" s="8"/>
      <c r="R63" s="8"/>
      <c r="S63" s="8"/>
      <c r="T63" s="8"/>
      <c r="U63" s="8"/>
      <c r="V63" s="8"/>
      <c r="W63" s="8"/>
      <c r="X63" s="8"/>
      <c r="Y63" s="8"/>
      <c r="Z63" s="8"/>
      <c r="AA63" s="8"/>
      <c r="AB63" s="8"/>
      <c r="AC63" s="8"/>
      <c r="AD63" s="8"/>
      <c r="AE63" s="8"/>
      <c r="AF63" s="8"/>
      <c r="AG63" s="8"/>
      <c r="AH63" s="8"/>
      <c r="AI63" s="8"/>
      <c r="AJ63" s="8"/>
    </row>
    <row r="64" spans="1:59" s="6" customFormat="1" ht="20.25" customHeight="1" x14ac:dyDescent="0.3">
      <c r="A64" s="9"/>
      <c r="B64" s="9"/>
      <c r="C64" s="9"/>
      <c r="D64" s="9"/>
      <c r="E64" s="9"/>
      <c r="F64" s="9"/>
      <c r="G64" s="9"/>
      <c r="H64" s="9"/>
      <c r="I64" s="9"/>
      <c r="J64" s="9"/>
      <c r="K64" s="9"/>
      <c r="L64" s="9"/>
      <c r="M64" s="8"/>
      <c r="N64" s="8"/>
      <c r="O64" s="8"/>
      <c r="P64" s="8"/>
      <c r="Q64" s="8"/>
      <c r="R64" s="8"/>
      <c r="S64" s="8"/>
      <c r="T64" s="8"/>
      <c r="U64" s="8"/>
      <c r="V64" s="8"/>
      <c r="W64" s="8"/>
      <c r="X64" s="8"/>
      <c r="Y64" s="8"/>
      <c r="Z64" s="8"/>
      <c r="AA64" s="8"/>
      <c r="AB64" s="8"/>
      <c r="AC64" s="8"/>
      <c r="AD64" s="8"/>
      <c r="AE64" s="8"/>
      <c r="AF64" s="8"/>
      <c r="AG64" s="8"/>
      <c r="AH64" s="8"/>
      <c r="AI64" s="8"/>
      <c r="AJ64" s="8"/>
    </row>
    <row r="65" spans="1:36" s="6" customFormat="1" ht="21" customHeight="1" x14ac:dyDescent="0.3">
      <c r="A65" s="9"/>
      <c r="B65" s="7"/>
      <c r="C65" s="9"/>
      <c r="D65" s="9"/>
      <c r="E65" s="9"/>
      <c r="F65" s="9"/>
      <c r="G65" s="9"/>
      <c r="H65" s="8"/>
      <c r="I65" s="8"/>
      <c r="J65" s="8"/>
      <c r="K65" s="9"/>
      <c r="L65" s="8"/>
      <c r="M65" s="8"/>
      <c r="N65" s="8"/>
      <c r="O65" s="8"/>
      <c r="P65" s="8"/>
      <c r="Q65" s="8"/>
      <c r="R65" s="8"/>
      <c r="S65" s="8"/>
      <c r="T65" s="8"/>
      <c r="U65" s="8"/>
      <c r="V65" s="8"/>
      <c r="W65" s="8"/>
      <c r="X65" s="8"/>
      <c r="Y65" s="8"/>
      <c r="Z65" s="8"/>
      <c r="AA65" s="8"/>
      <c r="AB65" s="8"/>
      <c r="AC65" s="8"/>
      <c r="AD65" s="8"/>
      <c r="AE65" s="8"/>
      <c r="AF65" s="8"/>
      <c r="AG65" s="8"/>
      <c r="AH65" s="8"/>
      <c r="AI65" s="8"/>
      <c r="AJ65" s="8"/>
    </row>
    <row r="66" spans="1:36" s="6" customFormat="1" ht="26.25" customHeight="1" x14ac:dyDescent="0.3">
      <c r="A66" s="9"/>
      <c r="B66" s="7"/>
      <c r="C66" s="9"/>
      <c r="D66" s="9"/>
      <c r="E66" s="9"/>
      <c r="F66" s="9"/>
      <c r="G66" s="9"/>
      <c r="H66" s="8"/>
      <c r="I66" s="8"/>
      <c r="J66" s="8"/>
      <c r="K66" s="9"/>
      <c r="L66" s="8"/>
      <c r="M66" s="8"/>
      <c r="N66" s="8"/>
      <c r="O66" s="8"/>
      <c r="P66" s="8"/>
      <c r="Q66" s="8"/>
      <c r="R66" s="8"/>
      <c r="S66" s="8"/>
      <c r="T66" s="8"/>
      <c r="U66" s="8"/>
      <c r="V66" s="8"/>
      <c r="W66" s="8"/>
      <c r="X66" s="8"/>
      <c r="Y66" s="8"/>
      <c r="Z66" s="8"/>
      <c r="AA66" s="8"/>
      <c r="AB66" s="8"/>
      <c r="AC66" s="8"/>
      <c r="AD66" s="8"/>
      <c r="AE66" s="8"/>
      <c r="AF66" s="8"/>
      <c r="AG66" s="8"/>
      <c r="AH66" s="8"/>
      <c r="AI66" s="8"/>
      <c r="AJ66" s="8"/>
    </row>
    <row r="67" spans="1:36" s="6" customFormat="1" ht="13" x14ac:dyDescent="0.3">
      <c r="A67" s="9"/>
      <c r="B67" s="7"/>
      <c r="C67" s="9"/>
      <c r="D67" s="9"/>
      <c r="E67" s="9"/>
      <c r="F67" s="9"/>
      <c r="G67" s="9"/>
      <c r="H67" s="8"/>
      <c r="I67" s="8"/>
      <c r="J67" s="8"/>
      <c r="K67" s="9"/>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s="6" customFormat="1" ht="13" x14ac:dyDescent="0.3">
      <c r="A68" s="9"/>
      <c r="B68" s="7"/>
      <c r="C68" s="9"/>
      <c r="D68" s="9"/>
      <c r="E68" s="9"/>
      <c r="F68" s="9"/>
      <c r="G68" s="9"/>
      <c r="H68" s="8"/>
      <c r="I68" s="8"/>
      <c r="J68" s="8"/>
      <c r="K68" s="9"/>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s="6" customFormat="1" ht="13" x14ac:dyDescent="0.3">
      <c r="A69" s="9"/>
      <c r="B69" s="7"/>
      <c r="C69" s="9"/>
      <c r="D69" s="9"/>
      <c r="E69" s="9"/>
      <c r="F69" s="9"/>
      <c r="G69" s="9"/>
      <c r="H69" s="8"/>
      <c r="I69" s="8"/>
      <c r="J69" s="8"/>
      <c r="K69" s="9"/>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s="6" customFormat="1" x14ac:dyDescent="0.2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s="6" customFormat="1" x14ac:dyDescent="0.2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s="6" customFormat="1" x14ac:dyDescent="0.2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s="6" customFormat="1" x14ac:dyDescent="0.2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s="6" customFormat="1" x14ac:dyDescent="0.2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s="6" customFormat="1" x14ac:dyDescent="0.2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s="6" customFormat="1" x14ac:dyDescent="0.25">
      <c r="C76" s="8"/>
      <c r="D76" s="8"/>
      <c r="E76" s="8"/>
      <c r="F76" s="8"/>
      <c r="G76" s="8"/>
      <c r="H76" s="384"/>
      <c r="I76" s="385"/>
      <c r="J76" s="385"/>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s="6" customFormat="1" x14ac:dyDescent="0.25">
      <c r="C77" s="8"/>
      <c r="D77" s="8"/>
      <c r="E77" s="8"/>
      <c r="F77" s="8"/>
      <c r="G77" s="8"/>
      <c r="H77" s="385"/>
      <c r="I77" s="385"/>
      <c r="J77" s="385"/>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s="6" customFormat="1" x14ac:dyDescent="0.25">
      <c r="C78" s="8"/>
      <c r="D78" s="8"/>
      <c r="E78" s="8"/>
      <c r="F78" s="8"/>
      <c r="G78" s="8"/>
      <c r="H78" s="385"/>
      <c r="I78" s="385"/>
      <c r="J78" s="385"/>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s="6" customFormat="1" x14ac:dyDescent="0.25">
      <c r="C79" s="8"/>
      <c r="D79" s="8"/>
      <c r="E79" s="8"/>
      <c r="F79" s="8"/>
      <c r="G79" s="8"/>
      <c r="H79" s="385"/>
      <c r="I79" s="385"/>
      <c r="J79" s="385"/>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s="6" customFormat="1" x14ac:dyDescent="0.25">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3:36" s="6" customFormat="1" x14ac:dyDescent="0.25">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3:36" s="6" customFormat="1" x14ac:dyDescent="0.25">
      <c r="C82" s="8"/>
      <c r="D82" s="8"/>
      <c r="E82" s="8"/>
      <c r="F82" s="8"/>
      <c r="G82" s="8"/>
      <c r="H82" s="195"/>
      <c r="I82" s="195"/>
      <c r="J82" s="195"/>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3:36" s="6" customFormat="1" ht="13" x14ac:dyDescent="0.3">
      <c r="C83" s="8"/>
      <c r="D83" s="195"/>
      <c r="E83" s="195"/>
      <c r="F83" s="195"/>
      <c r="G83" s="195"/>
      <c r="H83" s="203"/>
      <c r="I83" s="9"/>
      <c r="J83" s="9"/>
      <c r="K83" s="195"/>
      <c r="L83" s="195"/>
      <c r="M83" s="195"/>
      <c r="N83" s="195"/>
      <c r="O83" s="8"/>
      <c r="P83" s="8"/>
      <c r="Q83" s="8"/>
      <c r="R83" s="8"/>
      <c r="S83" s="8"/>
      <c r="T83" s="8"/>
      <c r="U83" s="8"/>
      <c r="V83" s="8"/>
      <c r="W83" s="8"/>
      <c r="X83" s="8"/>
      <c r="Y83" s="8"/>
      <c r="Z83" s="8"/>
      <c r="AA83" s="8"/>
      <c r="AB83" s="8"/>
      <c r="AC83" s="8"/>
      <c r="AD83" s="8"/>
      <c r="AE83" s="8"/>
      <c r="AF83" s="8"/>
      <c r="AG83" s="8"/>
      <c r="AH83" s="8"/>
      <c r="AI83" s="8"/>
      <c r="AJ83" s="8"/>
    </row>
    <row r="84" spans="3:36" s="6" customFormat="1" x14ac:dyDescent="0.25">
      <c r="C84" s="8"/>
      <c r="D84" s="195"/>
      <c r="E84" s="195"/>
      <c r="F84" s="195"/>
      <c r="G84" s="195"/>
      <c r="H84" s="386"/>
      <c r="I84" s="386"/>
      <c r="J84" s="386"/>
      <c r="K84" s="195"/>
      <c r="L84" s="195"/>
      <c r="M84" s="195"/>
      <c r="N84" s="195"/>
      <c r="O84" s="8"/>
      <c r="P84" s="8"/>
      <c r="Q84" s="8"/>
      <c r="R84" s="8"/>
      <c r="S84" s="8"/>
      <c r="T84" s="8"/>
      <c r="U84" s="8"/>
      <c r="V84" s="8"/>
      <c r="W84" s="8"/>
      <c r="X84" s="8"/>
      <c r="Y84" s="8"/>
      <c r="Z84" s="8"/>
      <c r="AA84" s="8"/>
      <c r="AB84" s="8"/>
      <c r="AC84" s="8"/>
      <c r="AD84" s="8"/>
      <c r="AE84" s="8"/>
      <c r="AF84" s="8"/>
      <c r="AG84" s="8"/>
      <c r="AH84" s="8"/>
      <c r="AI84" s="8"/>
      <c r="AJ84" s="8"/>
    </row>
    <row r="85" spans="3:36" s="6" customFormat="1" x14ac:dyDescent="0.25">
      <c r="C85" s="8"/>
      <c r="D85" s="195"/>
      <c r="E85" s="195"/>
      <c r="F85" s="195"/>
      <c r="G85" s="195"/>
      <c r="H85" s="376"/>
      <c r="I85" s="377"/>
      <c r="J85" s="377"/>
      <c r="K85" s="195"/>
      <c r="L85" s="195"/>
      <c r="M85" s="195"/>
      <c r="N85" s="195"/>
      <c r="O85" s="8"/>
      <c r="P85" s="8"/>
      <c r="Q85" s="8"/>
      <c r="R85" s="8"/>
      <c r="S85" s="8"/>
      <c r="T85" s="8"/>
      <c r="U85" s="8"/>
      <c r="V85" s="8"/>
      <c r="W85" s="8"/>
      <c r="X85" s="8"/>
      <c r="Y85" s="8"/>
      <c r="Z85" s="8"/>
      <c r="AA85" s="8"/>
      <c r="AB85" s="8"/>
      <c r="AC85" s="8"/>
      <c r="AD85" s="8"/>
      <c r="AE85" s="8"/>
      <c r="AF85" s="8"/>
      <c r="AG85" s="8"/>
      <c r="AH85" s="8"/>
      <c r="AI85" s="8"/>
      <c r="AJ85" s="8"/>
    </row>
    <row r="86" spans="3:36" s="6" customFormat="1" x14ac:dyDescent="0.25">
      <c r="C86" s="8"/>
      <c r="D86" s="195"/>
      <c r="E86" s="195"/>
      <c r="F86" s="195"/>
      <c r="G86" s="195"/>
      <c r="H86" s="377"/>
      <c r="I86" s="377"/>
      <c r="J86" s="377"/>
      <c r="K86" s="195"/>
      <c r="L86" s="195"/>
      <c r="M86" s="195"/>
      <c r="N86" s="195"/>
      <c r="O86" s="8"/>
      <c r="P86" s="8"/>
      <c r="Q86" s="8"/>
      <c r="R86" s="8"/>
      <c r="S86" s="8"/>
      <c r="T86" s="8"/>
      <c r="U86" s="8"/>
      <c r="V86" s="8"/>
      <c r="W86" s="8"/>
      <c r="X86" s="8"/>
      <c r="Y86" s="8"/>
      <c r="Z86" s="8"/>
      <c r="AA86" s="8"/>
      <c r="AB86" s="8"/>
      <c r="AC86" s="8"/>
      <c r="AD86" s="8"/>
      <c r="AE86" s="8"/>
      <c r="AF86" s="8"/>
      <c r="AG86" s="8"/>
      <c r="AH86" s="8"/>
      <c r="AI86" s="8"/>
      <c r="AJ86" s="8"/>
    </row>
    <row r="87" spans="3:36" s="6" customFormat="1" x14ac:dyDescent="0.25">
      <c r="C87" s="8"/>
      <c r="D87" s="195"/>
      <c r="E87" s="195"/>
      <c r="F87" s="195"/>
      <c r="G87" s="195"/>
      <c r="H87" s="377"/>
      <c r="I87" s="377"/>
      <c r="J87" s="377"/>
      <c r="K87" s="195"/>
      <c r="L87" s="195"/>
      <c r="M87" s="195"/>
      <c r="N87" s="195"/>
      <c r="O87" s="8"/>
      <c r="P87" s="8"/>
      <c r="Q87" s="8"/>
      <c r="R87" s="8"/>
      <c r="S87" s="8"/>
      <c r="T87" s="8"/>
      <c r="U87" s="8"/>
      <c r="V87" s="8"/>
      <c r="W87" s="8"/>
      <c r="X87" s="8"/>
      <c r="Y87" s="8"/>
      <c r="Z87" s="8"/>
      <c r="AA87" s="8"/>
      <c r="AB87" s="8"/>
      <c r="AC87" s="8"/>
      <c r="AD87" s="8"/>
      <c r="AE87" s="8"/>
      <c r="AF87" s="8"/>
      <c r="AG87" s="8"/>
      <c r="AH87" s="8"/>
      <c r="AI87" s="8"/>
      <c r="AJ87" s="8"/>
    </row>
    <row r="88" spans="3:36" s="6" customFormat="1" x14ac:dyDescent="0.25">
      <c r="C88" s="8"/>
      <c r="D88" s="195"/>
      <c r="E88" s="195"/>
      <c r="F88" s="195"/>
      <c r="G88" s="195"/>
      <c r="H88" s="377"/>
      <c r="I88" s="377"/>
      <c r="J88" s="377"/>
      <c r="K88" s="195"/>
      <c r="L88" s="195"/>
      <c r="M88" s="195"/>
      <c r="N88" s="195"/>
      <c r="O88" s="8"/>
      <c r="P88" s="8"/>
      <c r="Q88" s="8"/>
      <c r="R88" s="8"/>
      <c r="S88" s="8"/>
      <c r="T88" s="8"/>
      <c r="U88" s="8"/>
      <c r="V88" s="8"/>
      <c r="W88" s="8"/>
      <c r="X88" s="8"/>
      <c r="Y88" s="8"/>
      <c r="Z88" s="8"/>
      <c r="AA88" s="8"/>
      <c r="AB88" s="8"/>
      <c r="AC88" s="8"/>
      <c r="AD88" s="8"/>
      <c r="AE88" s="8"/>
      <c r="AF88" s="8"/>
      <c r="AG88" s="8"/>
      <c r="AH88" s="8"/>
      <c r="AI88" s="8"/>
      <c r="AJ88" s="8"/>
    </row>
    <row r="89" spans="3:36" s="6" customFormat="1" x14ac:dyDescent="0.25">
      <c r="C89" s="8"/>
      <c r="D89" s="195"/>
      <c r="E89" s="195"/>
      <c r="F89" s="195"/>
      <c r="G89" s="195"/>
      <c r="H89" s="377"/>
      <c r="I89" s="377"/>
      <c r="J89" s="377"/>
      <c r="K89" s="195"/>
      <c r="L89" s="195"/>
      <c r="M89" s="195"/>
      <c r="N89" s="195"/>
      <c r="O89" s="8"/>
      <c r="P89" s="8"/>
      <c r="Q89" s="8"/>
      <c r="R89" s="8"/>
      <c r="S89" s="8"/>
      <c r="T89" s="8"/>
      <c r="U89" s="8"/>
      <c r="V89" s="8"/>
      <c r="W89" s="8"/>
      <c r="X89" s="8"/>
      <c r="Y89" s="8"/>
      <c r="Z89" s="8"/>
      <c r="AA89" s="8"/>
      <c r="AB89" s="8"/>
      <c r="AC89" s="8"/>
      <c r="AD89" s="8"/>
      <c r="AE89" s="8"/>
      <c r="AF89" s="8"/>
      <c r="AG89" s="8"/>
      <c r="AH89" s="8"/>
      <c r="AI89" s="8"/>
      <c r="AJ89" s="8"/>
    </row>
    <row r="90" spans="3:36" s="6" customFormat="1" x14ac:dyDescent="0.25">
      <c r="C90" s="8"/>
      <c r="D90" s="195"/>
      <c r="E90" s="195"/>
      <c r="F90" s="195"/>
      <c r="G90" s="195"/>
      <c r="H90" s="377"/>
      <c r="I90" s="377"/>
      <c r="J90" s="377"/>
      <c r="K90" s="195"/>
      <c r="L90" s="195"/>
      <c r="M90" s="195"/>
      <c r="N90" s="195"/>
      <c r="O90" s="8"/>
      <c r="P90" s="8"/>
      <c r="Q90" s="8"/>
      <c r="R90" s="8"/>
      <c r="S90" s="8"/>
      <c r="T90" s="8"/>
      <c r="U90" s="8"/>
      <c r="V90" s="8"/>
      <c r="W90" s="8"/>
      <c r="X90" s="8"/>
      <c r="Y90" s="8"/>
      <c r="Z90" s="8"/>
      <c r="AA90" s="8"/>
      <c r="AB90" s="8"/>
      <c r="AC90" s="8"/>
      <c r="AD90" s="8"/>
      <c r="AE90" s="8"/>
      <c r="AF90" s="8"/>
      <c r="AG90" s="8"/>
      <c r="AH90" s="8"/>
      <c r="AI90" s="8"/>
      <c r="AJ90" s="8"/>
    </row>
    <row r="91" spans="3:36" s="6" customFormat="1" x14ac:dyDescent="0.25">
      <c r="C91" s="8"/>
      <c r="D91" s="195"/>
      <c r="E91" s="195"/>
      <c r="F91" s="195"/>
      <c r="G91" s="195"/>
      <c r="H91" s="377"/>
      <c r="I91" s="377"/>
      <c r="J91" s="377"/>
      <c r="K91" s="195"/>
      <c r="L91" s="195"/>
      <c r="M91" s="195"/>
      <c r="N91" s="195"/>
      <c r="O91" s="8"/>
      <c r="P91" s="8"/>
      <c r="Q91" s="8"/>
      <c r="R91" s="8"/>
      <c r="S91" s="8"/>
      <c r="T91" s="8"/>
      <c r="U91" s="8"/>
      <c r="V91" s="8"/>
      <c r="W91" s="8"/>
      <c r="X91" s="8"/>
      <c r="Y91" s="8"/>
      <c r="Z91" s="8"/>
      <c r="AA91" s="8"/>
      <c r="AB91" s="8"/>
      <c r="AC91" s="8"/>
      <c r="AD91" s="8"/>
      <c r="AE91" s="8"/>
      <c r="AF91" s="8"/>
      <c r="AG91" s="8"/>
      <c r="AH91" s="8"/>
      <c r="AI91" s="8"/>
      <c r="AJ91" s="8"/>
    </row>
    <row r="92" spans="3:36" s="6" customFormat="1" x14ac:dyDescent="0.25">
      <c r="C92" s="8"/>
      <c r="D92" s="195"/>
      <c r="E92" s="195"/>
      <c r="F92" s="195"/>
      <c r="G92" s="195"/>
      <c r="H92" s="377"/>
      <c r="I92" s="377"/>
      <c r="J92" s="377"/>
      <c r="K92" s="195"/>
      <c r="L92" s="195"/>
      <c r="M92" s="195"/>
      <c r="N92" s="195"/>
      <c r="O92" s="8"/>
      <c r="P92" s="8"/>
      <c r="Q92" s="8"/>
      <c r="R92" s="8"/>
      <c r="S92" s="8"/>
      <c r="T92" s="8"/>
      <c r="U92" s="8"/>
      <c r="V92" s="8"/>
      <c r="W92" s="8"/>
      <c r="X92" s="8"/>
      <c r="Y92" s="8"/>
      <c r="Z92" s="8"/>
      <c r="AA92" s="8"/>
      <c r="AB92" s="8"/>
      <c r="AC92" s="8"/>
      <c r="AD92" s="8"/>
      <c r="AE92" s="8"/>
      <c r="AF92" s="8"/>
      <c r="AG92" s="8"/>
      <c r="AH92" s="8"/>
      <c r="AI92" s="8"/>
      <c r="AJ92" s="8"/>
    </row>
    <row r="93" spans="3:36" s="6" customFormat="1" x14ac:dyDescent="0.25">
      <c r="C93" s="8"/>
      <c r="D93" s="195"/>
      <c r="E93" s="195"/>
      <c r="F93" s="195"/>
      <c r="G93" s="195"/>
      <c r="H93" s="377"/>
      <c r="I93" s="377"/>
      <c r="J93" s="377"/>
      <c r="K93" s="195"/>
      <c r="L93" s="195"/>
      <c r="M93" s="195"/>
      <c r="N93" s="195"/>
      <c r="O93" s="8"/>
      <c r="P93" s="8"/>
      <c r="Q93" s="8"/>
      <c r="R93" s="8"/>
      <c r="S93" s="8"/>
      <c r="T93" s="8"/>
      <c r="U93" s="8"/>
      <c r="V93" s="8"/>
      <c r="W93" s="8"/>
      <c r="X93" s="8"/>
      <c r="Y93" s="8"/>
      <c r="Z93" s="8"/>
      <c r="AA93" s="8"/>
      <c r="AB93" s="8"/>
      <c r="AC93" s="8"/>
      <c r="AD93" s="8"/>
      <c r="AE93" s="8"/>
      <c r="AF93" s="8"/>
      <c r="AG93" s="8"/>
      <c r="AH93" s="8"/>
      <c r="AI93" s="8"/>
      <c r="AJ93" s="8"/>
    </row>
    <row r="94" spans="3:36" s="6" customFormat="1" x14ac:dyDescent="0.25">
      <c r="C94" s="8"/>
      <c r="D94" s="195"/>
      <c r="E94" s="195"/>
      <c r="F94" s="195"/>
      <c r="G94" s="195"/>
      <c r="H94" s="377"/>
      <c r="I94" s="377"/>
      <c r="J94" s="377"/>
      <c r="K94" s="195"/>
      <c r="L94" s="195"/>
      <c r="M94" s="195"/>
      <c r="N94" s="195"/>
      <c r="O94" s="8"/>
      <c r="P94" s="8"/>
      <c r="Q94" s="8"/>
      <c r="R94" s="8"/>
      <c r="S94" s="8"/>
      <c r="T94" s="8"/>
      <c r="U94" s="8"/>
      <c r="V94" s="8"/>
      <c r="W94" s="8"/>
      <c r="X94" s="8"/>
      <c r="Y94" s="8"/>
      <c r="Z94" s="8"/>
      <c r="AA94" s="8"/>
      <c r="AB94" s="8"/>
      <c r="AC94" s="8"/>
      <c r="AD94" s="8"/>
      <c r="AE94" s="8"/>
      <c r="AF94" s="8"/>
      <c r="AG94" s="8"/>
      <c r="AH94" s="8"/>
      <c r="AI94" s="8"/>
      <c r="AJ94" s="8"/>
    </row>
    <row r="95" spans="3:36" s="6" customFormat="1" x14ac:dyDescent="0.25">
      <c r="C95" s="8"/>
      <c r="D95" s="195"/>
      <c r="E95" s="195"/>
      <c r="F95" s="195"/>
      <c r="G95" s="195"/>
      <c r="H95" s="377"/>
      <c r="I95" s="377"/>
      <c r="J95" s="377"/>
      <c r="K95" s="195"/>
      <c r="L95" s="195"/>
      <c r="M95" s="195"/>
      <c r="N95" s="195"/>
      <c r="O95" s="8"/>
      <c r="P95" s="8"/>
      <c r="Q95" s="8"/>
      <c r="R95" s="8"/>
      <c r="S95" s="8"/>
      <c r="T95" s="8"/>
      <c r="U95" s="8"/>
      <c r="V95" s="8"/>
      <c r="W95" s="8"/>
      <c r="X95" s="8"/>
      <c r="Y95" s="8"/>
      <c r="Z95" s="8"/>
      <c r="AA95" s="8"/>
      <c r="AB95" s="8"/>
      <c r="AC95" s="8"/>
      <c r="AD95" s="8"/>
      <c r="AE95" s="8"/>
      <c r="AF95" s="8"/>
      <c r="AG95" s="8"/>
      <c r="AH95" s="8"/>
      <c r="AI95" s="8"/>
      <c r="AJ95" s="8"/>
    </row>
    <row r="96" spans="3:36" s="6" customFormat="1" x14ac:dyDescent="0.25">
      <c r="C96" s="8"/>
      <c r="D96" s="8"/>
      <c r="E96" s="8"/>
      <c r="F96" s="8"/>
      <c r="G96" s="8"/>
      <c r="H96" s="159"/>
      <c r="I96" s="159"/>
      <c r="J96" s="159"/>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3:36" s="6" customFormat="1" x14ac:dyDescent="0.25">
      <c r="C97" s="8"/>
      <c r="D97" s="8"/>
      <c r="E97" s="8"/>
      <c r="F97" s="8"/>
      <c r="G97" s="8"/>
      <c r="H97" s="159"/>
      <c r="I97" s="159"/>
      <c r="J97" s="159"/>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3:36" s="6" customFormat="1" x14ac:dyDescent="0.25">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3:36" s="6" customFormat="1" x14ac:dyDescent="0.25">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3:36" s="6" customFormat="1" x14ac:dyDescent="0.25">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3:36" s="6" customFormat="1" x14ac:dyDescent="0.25">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3:36" s="6" customFormat="1" x14ac:dyDescent="0.25">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3:36" s="6" customFormat="1" x14ac:dyDescent="0.25">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3:36" s="6" customFormat="1" x14ac:dyDescent="0.25">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3:36" s="6" customFormat="1" x14ac:dyDescent="0.25">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3:36" s="6" customFormat="1" x14ac:dyDescent="0.25">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3:36" s="6" customFormat="1" x14ac:dyDescent="0.25">
      <c r="C107" s="8"/>
      <c r="D107" s="8"/>
      <c r="E107" s="8"/>
      <c r="F107" s="8"/>
      <c r="G107" s="8"/>
      <c r="H107" s="8"/>
      <c r="I107" s="8"/>
      <c r="J107" s="8"/>
      <c r="K107" s="8"/>
      <c r="L107" s="8"/>
      <c r="M107" s="8"/>
      <c r="N107" s="8"/>
      <c r="O107" s="8"/>
      <c r="P107" s="8"/>
      <c r="Q107" s="8"/>
      <c r="R107" s="8"/>
      <c r="S107" s="8"/>
      <c r="T107" s="8"/>
      <c r="U107" s="8"/>
      <c r="V107" s="8"/>
      <c r="W107" s="8"/>
      <c r="X107" s="8"/>
      <c r="Y107" s="8"/>
    </row>
    <row r="108" spans="3:36" s="6" customFormat="1" x14ac:dyDescent="0.25">
      <c r="C108" s="8"/>
      <c r="D108" s="8"/>
      <c r="E108" s="8"/>
      <c r="F108" s="8"/>
      <c r="G108" s="8"/>
      <c r="H108" s="8"/>
      <c r="I108" s="8"/>
      <c r="J108" s="8"/>
      <c r="K108" s="8"/>
      <c r="L108" s="8"/>
      <c r="M108" s="8"/>
      <c r="N108" s="8"/>
      <c r="O108" s="8"/>
      <c r="P108" s="8"/>
      <c r="Q108" s="8"/>
      <c r="R108" s="8"/>
      <c r="S108" s="8"/>
      <c r="T108" s="8"/>
      <c r="U108" s="8"/>
      <c r="V108" s="8"/>
      <c r="W108" s="8"/>
      <c r="X108" s="8"/>
      <c r="Y108" s="8"/>
    </row>
    <row r="109" spans="3:36" s="6" customFormat="1" x14ac:dyDescent="0.25">
      <c r="C109" s="8"/>
      <c r="D109" s="8"/>
      <c r="E109" s="8"/>
      <c r="F109" s="8"/>
      <c r="G109" s="8"/>
      <c r="H109" s="8"/>
      <c r="I109" s="8"/>
      <c r="J109" s="8"/>
      <c r="K109" s="8"/>
      <c r="L109" s="8"/>
      <c r="M109" s="8"/>
      <c r="N109" s="8"/>
      <c r="O109" s="8"/>
      <c r="P109" s="8"/>
      <c r="Q109" s="8"/>
      <c r="R109" s="8"/>
      <c r="S109" s="8"/>
      <c r="T109" s="8"/>
      <c r="U109" s="8"/>
      <c r="V109" s="8"/>
      <c r="W109" s="8"/>
      <c r="X109" s="8"/>
      <c r="Y109" s="8"/>
    </row>
    <row r="110" spans="3:36" s="6" customFormat="1" x14ac:dyDescent="0.25">
      <c r="C110" s="8"/>
      <c r="D110" s="8"/>
      <c r="E110" s="8"/>
      <c r="F110" s="8"/>
      <c r="G110" s="8"/>
      <c r="H110" s="8"/>
      <c r="I110" s="8"/>
      <c r="J110" s="8"/>
      <c r="K110" s="8"/>
      <c r="L110" s="8"/>
      <c r="M110" s="8"/>
      <c r="N110" s="8"/>
      <c r="O110" s="8"/>
      <c r="P110" s="8"/>
      <c r="Q110" s="8"/>
      <c r="R110" s="8"/>
      <c r="S110" s="8"/>
      <c r="T110" s="8"/>
      <c r="U110" s="8"/>
      <c r="V110" s="8"/>
      <c r="W110" s="8"/>
      <c r="X110" s="8"/>
      <c r="Y110" s="8"/>
    </row>
    <row r="111" spans="3:36" s="6" customFormat="1" x14ac:dyDescent="0.25"/>
    <row r="112" spans="3:36"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pans="8:10" s="6" customFormat="1" x14ac:dyDescent="0.25"/>
    <row r="258" spans="8:10" s="6" customFormat="1" x14ac:dyDescent="0.25"/>
    <row r="259" spans="8:10" s="6" customFormat="1" x14ac:dyDescent="0.25"/>
    <row r="260" spans="8:10" s="6" customFormat="1" x14ac:dyDescent="0.25"/>
    <row r="261" spans="8:10" s="6" customFormat="1" x14ac:dyDescent="0.25"/>
    <row r="262" spans="8:10" s="6" customFormat="1" x14ac:dyDescent="0.25"/>
    <row r="263" spans="8:10" s="6" customFormat="1" x14ac:dyDescent="0.25"/>
    <row r="264" spans="8:10" s="6" customFormat="1" x14ac:dyDescent="0.25"/>
    <row r="265" spans="8:10" s="6" customFormat="1" x14ac:dyDescent="0.25"/>
    <row r="266" spans="8:10" s="6" customFormat="1" x14ac:dyDescent="0.25"/>
    <row r="267" spans="8:10" s="6" customFormat="1" x14ac:dyDescent="0.25"/>
    <row r="268" spans="8:10" x14ac:dyDescent="0.25">
      <c r="H268" s="6"/>
      <c r="I268" s="6"/>
      <c r="J268" s="6"/>
    </row>
  </sheetData>
  <sheetProtection password="C6AA" sheet="1" formatCells="0" formatColumns="0" formatRows="0" insertColumns="0" insertRows="0" insertHyperlinks="0" deleteColumns="0" deleteRows="0" sort="0" autoFilter="0" pivotTables="0"/>
  <mergeCells count="8">
    <mergeCell ref="B44:B45"/>
    <mergeCell ref="H84:J84"/>
    <mergeCell ref="H85:J95"/>
    <mergeCell ref="H59:J59"/>
    <mergeCell ref="B61:D61"/>
    <mergeCell ref="H76:J79"/>
    <mergeCell ref="H60:J61"/>
    <mergeCell ref="B59:D59"/>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6B531"/>
  </sheetPr>
  <dimension ref="A1:BG265"/>
  <sheetViews>
    <sheetView zoomScaleNormal="100" workbookViewId="0">
      <selection activeCell="C7" sqref="C7"/>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3.75" customHeight="1" thickBot="1" x14ac:dyDescent="0.3">
      <c r="A2" s="107"/>
      <c r="B2" s="292" t="s">
        <v>142</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14" t="s">
        <v>3</v>
      </c>
      <c r="C5" s="15" t="s">
        <v>4</v>
      </c>
      <c r="D5" s="71"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16"/>
      <c r="C6" s="17"/>
      <c r="D6" s="72"/>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f>'Ökosteuer 2015'!C7</f>
        <v>0</v>
      </c>
      <c r="D7" s="21"/>
      <c r="E7" s="103"/>
      <c r="F7" s="42"/>
      <c r="G7" s="112"/>
      <c r="H7" s="80" t="s">
        <v>43</v>
      </c>
      <c r="I7" s="79" t="s">
        <v>52</v>
      </c>
      <c r="J7" s="25">
        <f>PRODUCT($C$10,5.13)</f>
        <v>0</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2">
        <f>'Ökosteuer 2015'!C8</f>
        <v>0</v>
      </c>
      <c r="D8" s="22"/>
      <c r="E8" s="103"/>
      <c r="F8" s="42"/>
      <c r="G8" s="112"/>
      <c r="H8" s="82" t="s">
        <v>44</v>
      </c>
      <c r="I8" s="36" t="s">
        <v>53</v>
      </c>
      <c r="J8" s="26">
        <v>250</v>
      </c>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2">
        <f>'Ökosteuer 2015'!C9</f>
        <v>0</v>
      </c>
      <c r="D9" s="22"/>
      <c r="E9" s="103"/>
      <c r="F9" s="42"/>
      <c r="G9" s="112"/>
      <c r="H9" s="83" t="s">
        <v>45</v>
      </c>
      <c r="I9" s="51"/>
      <c r="J9" s="73">
        <f>IF(J7&lt;250.01,0,SUM(J7,-J8))</f>
        <v>0</v>
      </c>
      <c r="K9" s="114"/>
      <c r="L9" s="105">
        <f>IF(C13&gt;19.5,19.5,C13)</f>
        <v>18.899999999999999</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0</v>
      </c>
      <c r="D10" s="23"/>
      <c r="E10" s="103"/>
      <c r="F10" s="42"/>
      <c r="G10" s="112"/>
      <c r="H10" s="80" t="s">
        <v>46</v>
      </c>
      <c r="I10" s="79"/>
      <c r="J10" s="25">
        <f>IF($C$10&lt;48.732943,PRODUCT($C$10,20.5),(PRODUCT($C$10,20.5)-J9))</f>
        <v>0</v>
      </c>
      <c r="K10" s="114"/>
      <c r="L10" s="105">
        <f>IF(C16&gt;25.9,25.9,C16)</f>
        <v>25.1</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2">
        <f>'Ökosteuer 2015'!C11</f>
        <v>0</v>
      </c>
      <c r="D11" s="61">
        <f>(C11*D13)/(C13)</f>
        <v>0</v>
      </c>
      <c r="E11" s="103"/>
      <c r="F11" s="42"/>
      <c r="G11" s="112"/>
      <c r="H11" s="27" t="s">
        <v>60</v>
      </c>
      <c r="I11" s="28"/>
      <c r="J11" s="29">
        <f>IF(J10&lt;1000,0,SUM(J10,-1000))</f>
        <v>0</v>
      </c>
      <c r="K11" s="114"/>
      <c r="L11" s="105">
        <f>IF(C17&gt;16.15,16.15,C17)</f>
        <v>15.65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2">
        <f>'Ökosteuer 2015'!C12</f>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88" t="s">
        <v>148</v>
      </c>
      <c r="C13" s="60">
        <v>18.899999999999999</v>
      </c>
      <c r="D13" s="63">
        <f>L9</f>
        <v>18.899999999999999</v>
      </c>
      <c r="E13" s="103"/>
      <c r="F13" s="42"/>
      <c r="G13" s="112"/>
      <c r="H13" s="30" t="s">
        <v>11</v>
      </c>
      <c r="I13" s="31"/>
      <c r="J13" s="32">
        <f>J11-D18</f>
        <v>0</v>
      </c>
      <c r="K13" s="114"/>
      <c r="L13" s="105">
        <f>J11*0.9</f>
        <v>0</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2">
        <f>'Ökosteuer 2015'!C14</f>
        <v>0</v>
      </c>
      <c r="D14" s="62">
        <f>(C14*D17)/(C17)</f>
        <v>0</v>
      </c>
      <c r="E14" s="103"/>
      <c r="F14" s="42"/>
      <c r="G14" s="112"/>
      <c r="H14" s="50" t="s">
        <v>122</v>
      </c>
      <c r="I14" s="51"/>
      <c r="J14" s="73">
        <f>IF(L15&lt;0,0,L15)</f>
        <v>0</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2">
        <f>'Ökosteuer 2015'!C15</f>
        <v>0</v>
      </c>
      <c r="D15" s="62">
        <f>(C15*D16)/(C16)</f>
        <v>0</v>
      </c>
      <c r="E15" s="103"/>
      <c r="F15" s="42"/>
      <c r="G15" s="112"/>
      <c r="H15" s="74" t="s">
        <v>1</v>
      </c>
      <c r="I15" s="75"/>
      <c r="J15" s="34">
        <f>(C10*20.5)-J9-J14</f>
        <v>0</v>
      </c>
      <c r="K15" s="114"/>
      <c r="L15" s="105">
        <f>J13*0.9</f>
        <v>0</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88" t="s">
        <v>149</v>
      </c>
      <c r="C16" s="93">
        <v>25.1</v>
      </c>
      <c r="D16" s="63">
        <f>L10</f>
        <v>25.1</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88" t="s">
        <v>150</v>
      </c>
      <c r="C17" s="65">
        <v>15.65</v>
      </c>
      <c r="D17" s="64">
        <f>L11</f>
        <v>15.65</v>
      </c>
      <c r="E17" s="103"/>
      <c r="F17" s="42"/>
      <c r="G17" s="112"/>
      <c r="H17" s="52" t="s">
        <v>30</v>
      </c>
      <c r="I17" s="53"/>
      <c r="J17" s="73">
        <f>C8*20.5</f>
        <v>0</v>
      </c>
      <c r="K17" s="114"/>
      <c r="L17" s="105">
        <f>IF(L15&lt;L13,L15,L13)</f>
        <v>0</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138" t="s">
        <v>36</v>
      </c>
      <c r="C19" s="2">
        <f>'Ökosteuer 2015'!C19</f>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thickBot="1" x14ac:dyDescent="0.4">
      <c r="A20" s="109"/>
      <c r="B20" s="139" t="s">
        <v>18</v>
      </c>
      <c r="C20" s="2">
        <f>'Ökosteuer 2015'!C20</f>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2">
        <f>'Ökosteuer 2015'!C21</f>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thickBot="1" x14ac:dyDescent="0.35">
      <c r="A22" s="109"/>
      <c r="B22" s="140" t="s">
        <v>100</v>
      </c>
      <c r="C22" s="2">
        <f>'Ökosteuer 2015'!C22</f>
        <v>0</v>
      </c>
      <c r="D22" s="303"/>
      <c r="E22" s="103"/>
      <c r="F22" s="42"/>
      <c r="G22" s="112"/>
      <c r="H22" s="165"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66</v>
      </c>
      <c r="C23" s="2">
        <f>'Ökosteuer 2015'!C23</f>
        <v>0</v>
      </c>
      <c r="D23" s="303"/>
      <c r="E23" s="103"/>
      <c r="F23" s="42"/>
      <c r="G23" s="112"/>
      <c r="H23" s="82"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138" t="s">
        <v>137</v>
      </c>
      <c r="C24" s="2">
        <f>'Ökosteuer 2015'!C24</f>
        <v>0</v>
      </c>
      <c r="D24" s="303"/>
      <c r="E24" s="103"/>
      <c r="F24" s="42"/>
      <c r="G24" s="112"/>
      <c r="H24" s="82"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thickBot="1" x14ac:dyDescent="0.35">
      <c r="A25" s="109"/>
      <c r="B25" s="156" t="s">
        <v>125</v>
      </c>
      <c r="C25" s="2">
        <f>'Ökosteuer 2015'!C25</f>
        <v>0</v>
      </c>
      <c r="D25" s="303"/>
      <c r="E25" s="103"/>
      <c r="F25" s="42"/>
      <c r="G25" s="112"/>
      <c r="H25" s="82" t="s">
        <v>67</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2" t="s">
        <v>82</v>
      </c>
      <c r="C26" s="2">
        <f>'Ökosteuer 2015'!C26</f>
        <v>0</v>
      </c>
      <c r="D26" s="303"/>
      <c r="E26" s="103"/>
      <c r="F26" s="42"/>
      <c r="G26" s="112"/>
      <c r="H26" s="82" t="s">
        <v>68</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38" t="s">
        <v>8</v>
      </c>
      <c r="C27" s="2">
        <f>'Ökosteuer 2015'!C27</f>
        <v>0</v>
      </c>
      <c r="D27" s="303"/>
      <c r="E27" s="103"/>
      <c r="F27" s="42"/>
      <c r="G27" s="112"/>
      <c r="H27" s="82" t="s">
        <v>71</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thickBot="1" x14ac:dyDescent="0.35">
      <c r="A28" s="109"/>
      <c r="B28" s="139" t="s">
        <v>18</v>
      </c>
      <c r="C28" s="2">
        <f>'Ökosteuer 2015'!C28</f>
        <v>0</v>
      </c>
      <c r="D28" s="303"/>
      <c r="E28" s="103"/>
      <c r="F28" s="42"/>
      <c r="G28" s="112"/>
      <c r="H28" s="82" t="s">
        <v>133</v>
      </c>
      <c r="I28" s="36" t="s">
        <v>123</v>
      </c>
      <c r="J28" s="168">
        <f>PRODUCT(C25,10)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thickBot="1" x14ac:dyDescent="0.35">
      <c r="A29" s="109"/>
      <c r="B29" s="140" t="s">
        <v>19</v>
      </c>
      <c r="C29" s="2">
        <f>'Ökosteuer 2015'!C29</f>
        <v>0</v>
      </c>
      <c r="D29" s="303"/>
      <c r="E29" s="103"/>
      <c r="F29" s="42"/>
      <c r="G29" s="112"/>
      <c r="H29" s="82" t="s">
        <v>134</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thickBot="1" x14ac:dyDescent="0.35">
      <c r="A30" s="109"/>
      <c r="B30" s="140" t="s">
        <v>100</v>
      </c>
      <c r="C30" s="2">
        <f>'Ökosteuer 2015'!C30</f>
        <v>0</v>
      </c>
      <c r="D30" s="303"/>
      <c r="E30" s="103"/>
      <c r="F30" s="42"/>
      <c r="G30" s="112"/>
      <c r="H30" s="166"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thickBot="1" x14ac:dyDescent="0.35">
      <c r="A31" s="109"/>
      <c r="B31" s="141" t="s">
        <v>81</v>
      </c>
      <c r="C31" s="2">
        <f>'Ökosteuer 2015'!C31</f>
        <v>0</v>
      </c>
      <c r="D31" s="303"/>
      <c r="E31" s="103"/>
      <c r="F31" s="42"/>
      <c r="G31" s="112"/>
      <c r="H31" s="82" t="s">
        <v>22</v>
      </c>
      <c r="I31" s="171" t="s">
        <v>34</v>
      </c>
      <c r="J31" s="168">
        <f>PRODUCT(C28,5.5)</f>
        <v>0</v>
      </c>
      <c r="K31" s="111"/>
      <c r="L31" s="105"/>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3" t="s">
        <v>82</v>
      </c>
      <c r="C32" s="2">
        <f>'Ökosteuer 2015'!C32</f>
        <v>0</v>
      </c>
      <c r="D32" s="303"/>
      <c r="E32" s="103"/>
      <c r="F32" s="42"/>
      <c r="G32" s="112"/>
      <c r="H32" s="82"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38" t="s">
        <v>9</v>
      </c>
      <c r="C33" s="2">
        <f>'Ökosteuer 2015'!C33</f>
        <v>0</v>
      </c>
      <c r="D33" s="304"/>
      <c r="E33" s="103"/>
      <c r="F33" s="42"/>
      <c r="G33" s="112"/>
      <c r="H33" s="82" t="s">
        <v>72</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thickBot="1" x14ac:dyDescent="0.35">
      <c r="A34" s="109"/>
      <c r="B34" s="139" t="s">
        <v>18</v>
      </c>
      <c r="C34" s="2">
        <f>'Ökosteuer 2015'!C34</f>
        <v>0</v>
      </c>
      <c r="D34" s="304"/>
      <c r="E34" s="103"/>
      <c r="F34" s="42"/>
      <c r="G34" s="112"/>
      <c r="H34" s="82" t="s">
        <v>78</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thickBot="1" x14ac:dyDescent="0.35">
      <c r="A35" s="109"/>
      <c r="B35" s="140" t="s">
        <v>19</v>
      </c>
      <c r="C35" s="2">
        <f>'Ökosteuer 2015'!C35</f>
        <v>0</v>
      </c>
      <c r="D35" s="304"/>
      <c r="E35" s="103"/>
      <c r="F35" s="42"/>
      <c r="G35" s="112"/>
      <c r="H35" s="82" t="s">
        <v>79</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thickBot="1" x14ac:dyDescent="0.35">
      <c r="A36" s="109"/>
      <c r="B36" s="140" t="s">
        <v>100</v>
      </c>
      <c r="C36" s="2">
        <f>'Ökosteuer 2015'!C36</f>
        <v>0</v>
      </c>
      <c r="D36" s="304"/>
      <c r="E36" s="103"/>
      <c r="F36" s="10"/>
      <c r="G36" s="10"/>
      <c r="H36" s="166"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thickBot="1" x14ac:dyDescent="0.35">
      <c r="A37" s="109"/>
      <c r="B37" s="140" t="s">
        <v>85</v>
      </c>
      <c r="C37" s="2">
        <f>'Ökosteuer 2015'!C37</f>
        <v>0</v>
      </c>
      <c r="D37" s="304"/>
      <c r="E37" s="103"/>
      <c r="F37" s="42"/>
      <c r="G37" s="112"/>
      <c r="H37" s="82"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3" t="s">
        <v>82</v>
      </c>
      <c r="C38" s="2">
        <f>'Ökosteuer 2015'!C38</f>
        <v>0</v>
      </c>
      <c r="D38" s="305"/>
      <c r="E38" s="103"/>
      <c r="F38" s="42"/>
      <c r="G38" s="112"/>
      <c r="H38" s="82"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09"/>
      <c r="B39" s="118"/>
      <c r="C39" s="118"/>
      <c r="D39" s="118"/>
      <c r="E39" s="103"/>
      <c r="F39" s="42"/>
      <c r="G39" s="112"/>
      <c r="H39" s="82" t="s">
        <v>74</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09"/>
      <c r="B40" s="289" t="s">
        <v>119</v>
      </c>
      <c r="C40" s="290"/>
      <c r="D40" s="291"/>
      <c r="E40" s="103"/>
      <c r="F40" s="42"/>
      <c r="G40" s="112"/>
      <c r="H40" s="82" t="s">
        <v>75</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7" customHeight="1" thickBot="1" x14ac:dyDescent="0.3">
      <c r="A41" s="109"/>
      <c r="B41" s="308" t="s">
        <v>120</v>
      </c>
      <c r="C41" s="259" t="s">
        <v>118</v>
      </c>
      <c r="D41" s="258"/>
      <c r="E41" s="103"/>
      <c r="F41" s="10"/>
      <c r="G41" s="10"/>
      <c r="H41" s="82" t="s">
        <v>76</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1" customHeight="1" thickBot="1" x14ac:dyDescent="0.35">
      <c r="A42" s="109"/>
      <c r="B42" s="309"/>
      <c r="C42" s="2">
        <f>'Ökosteuer 2015'!C42</f>
        <v>0</v>
      </c>
      <c r="D42" s="257" t="s">
        <v>114</v>
      </c>
      <c r="E42" s="103"/>
      <c r="F42" s="42"/>
      <c r="G42" s="42"/>
      <c r="H42" s="167" t="s">
        <v>5</v>
      </c>
      <c r="I42" s="172"/>
      <c r="J42" s="170">
        <v>-250</v>
      </c>
      <c r="K42" s="111"/>
      <c r="L42" s="268">
        <v>51</v>
      </c>
      <c r="M42" s="268">
        <v>53</v>
      </c>
      <c r="N42" s="268">
        <v>54</v>
      </c>
      <c r="O42" s="268"/>
      <c r="P42" s="268"/>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175" t="s">
        <v>86</v>
      </c>
      <c r="I43" s="163"/>
      <c r="J43" s="164">
        <f>IF(SUM(J22,J30,J36)&gt;250,SUM(J22:J42),SUM(J23:J29,J31:J35,J37:J41))</f>
        <v>0</v>
      </c>
      <c r="K43" s="111"/>
      <c r="L43" s="269">
        <f>SUM(J23,J31,J37)</f>
        <v>0</v>
      </c>
      <c r="M43" s="269">
        <f>SUM(J24:J29,J32:J35,J38:J41)</f>
        <v>0</v>
      </c>
      <c r="N43" s="269">
        <f>SUM(J22,J30,J36,J42)</f>
        <v>-250</v>
      </c>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91"/>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87"/>
      <c r="BG46" s="87"/>
    </row>
    <row r="47" spans="1:59" s="6" customFormat="1" ht="20.25" customHeight="1" thickBot="1" x14ac:dyDescent="0.35">
      <c r="A47" s="115"/>
      <c r="B47" s="156" t="s">
        <v>110</v>
      </c>
      <c r="C47" s="2">
        <f>'Ökosteuer 2015'!C47</f>
        <v>0</v>
      </c>
      <c r="D47" s="240"/>
      <c r="E47" s="104"/>
      <c r="F47" s="5"/>
      <c r="G47" s="5"/>
      <c r="H47" s="33" t="s">
        <v>47</v>
      </c>
      <c r="I47" s="39"/>
      <c r="J47" s="40">
        <f>IF(SUM(PRODUCT(SUM(C19,-C20,-C21,-C22,-C23),5.11),PRODUCT(SUM(C27,-C28,-C29,-C30,-C31,-C32),2.28),PRODUCT(SUM(C33,-C34,-C35,-C36,-C37,-C38),19.89),-750)&lt;0,0,SUM(PRODUCT(SUM(C19,-C20,-C21,-C22,-C23),5.11),PRODUCT(SUM(C27,-C28,-C29,-C30,-C31,-C32),2.28),PRODUCT(SUM(C33,-C34,-C35,-C36,-C37,-C38),19.89),-750))</f>
        <v>0</v>
      </c>
      <c r="K47" s="116"/>
      <c r="L47" s="193">
        <f>J47*0.9</f>
        <v>0</v>
      </c>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05"/>
      <c r="BG47" s="87"/>
    </row>
    <row r="48" spans="1:59" s="6" customFormat="1" ht="23.25" customHeight="1" thickBot="1" x14ac:dyDescent="0.4">
      <c r="A48" s="115"/>
      <c r="B48" s="140" t="s">
        <v>111</v>
      </c>
      <c r="C48" s="2">
        <f>'Ökosteuer 2015'!C48</f>
        <v>0</v>
      </c>
      <c r="D48" s="239"/>
      <c r="E48" s="118"/>
      <c r="F48" s="5"/>
      <c r="G48" s="5"/>
      <c r="H48" s="85" t="s">
        <v>121</v>
      </c>
      <c r="I48" s="69"/>
      <c r="J48" s="73">
        <f>IF(L48&gt;L47,IF(L47&lt;0,0,L47),IF(L48&lt;0,0,L48))</f>
        <v>0</v>
      </c>
      <c r="K48" s="116"/>
      <c r="L48" s="193">
        <f>SUM((J11+J47)-D18)*0.9</f>
        <v>0</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89"/>
      <c r="BG48" s="89"/>
    </row>
    <row r="49" spans="1:59" s="6" customFormat="1" ht="20.25" customHeight="1" thickBot="1" x14ac:dyDescent="0.35">
      <c r="A49" s="115"/>
      <c r="B49" s="143" t="s">
        <v>112</v>
      </c>
      <c r="C49" s="2">
        <f>'Ökosteuer 2015'!C49</f>
        <v>0</v>
      </c>
      <c r="D49" s="241"/>
      <c r="E49" s="118"/>
      <c r="F49" s="5"/>
      <c r="G49" s="5"/>
      <c r="H49" s="103"/>
      <c r="I49" s="103"/>
      <c r="J49" s="111"/>
      <c r="K49" s="116"/>
      <c r="L49" s="194"/>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89"/>
      <c r="BG49" s="89"/>
    </row>
    <row r="50" spans="1:59" s="6" customFormat="1" ht="18.75" customHeight="1" thickBot="1" x14ac:dyDescent="0.4">
      <c r="A50" s="118"/>
      <c r="B50" s="118"/>
      <c r="C50" s="118"/>
      <c r="D50" s="118"/>
      <c r="E50" s="118"/>
      <c r="F50" s="117"/>
      <c r="G50" s="117"/>
      <c r="H50" s="236" t="s">
        <v>115</v>
      </c>
      <c r="I50" s="237"/>
      <c r="J50" s="73">
        <f>IF(SUM(C47*(669.8-61.35),C48*(654.5-61.35),C49*(721-61.35))&lt;50,0,SUM(C47*(669.8-61.35),C48*(654.5-61.35),C49*(721-61.35)))</f>
        <v>0</v>
      </c>
      <c r="K50" s="116"/>
      <c r="L50" s="194"/>
      <c r="M50" s="194"/>
      <c r="N50" s="194"/>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row>
    <row r="51" spans="1:59" s="6" customFormat="1" ht="24" customHeight="1" thickBot="1" x14ac:dyDescent="0.35">
      <c r="A51" s="115"/>
      <c r="B51" s="310" t="s">
        <v>117</v>
      </c>
      <c r="C51" s="311"/>
      <c r="D51" s="312"/>
      <c r="E51" s="104"/>
      <c r="F51" s="117"/>
      <c r="G51" s="117"/>
      <c r="H51" s="118"/>
      <c r="I51" s="118"/>
      <c r="J51" s="118"/>
      <c r="K51" s="116"/>
    </row>
    <row r="52" spans="1:59" s="6" customFormat="1" ht="18.75" customHeight="1" thickBot="1" x14ac:dyDescent="0.4">
      <c r="A52" s="115"/>
      <c r="B52" s="313"/>
      <c r="C52" s="314"/>
      <c r="D52" s="315"/>
      <c r="E52" s="104"/>
      <c r="F52" s="117"/>
      <c r="G52" s="117"/>
      <c r="H52" s="183" t="s">
        <v>31</v>
      </c>
      <c r="I52" s="144"/>
      <c r="J52" s="198">
        <f>SUM(J9,J14,J17,J18,J43,J48,J50)</f>
        <v>0</v>
      </c>
      <c r="K52" s="116"/>
    </row>
    <row r="53" spans="1:59" s="6" customFormat="1" ht="19.5" customHeight="1" x14ac:dyDescent="0.3">
      <c r="A53" s="115"/>
      <c r="B53" s="313"/>
      <c r="C53" s="314"/>
      <c r="D53" s="315"/>
      <c r="E53" s="104"/>
      <c r="F53" s="117"/>
      <c r="G53" s="117"/>
      <c r="H53" s="371" t="s">
        <v>143</v>
      </c>
      <c r="I53" s="320"/>
      <c r="J53" s="135">
        <f>SUM(C7*20.5,C19*20.45,C24*25,C27*3.66,C33*35.04)</f>
        <v>0</v>
      </c>
      <c r="K53" s="116"/>
    </row>
    <row r="54" spans="1:59" s="6" customFormat="1" ht="19.5" customHeight="1" thickBot="1" x14ac:dyDescent="0.35">
      <c r="A54" s="115"/>
      <c r="B54" s="313"/>
      <c r="C54" s="314"/>
      <c r="D54" s="315"/>
      <c r="E54" s="104"/>
      <c r="F54" s="117"/>
      <c r="G54" s="117"/>
      <c r="H54" s="321" t="s">
        <v>51</v>
      </c>
      <c r="I54" s="322"/>
      <c r="J54" s="91">
        <f>J53-J52+J50</f>
        <v>0</v>
      </c>
      <c r="K54" s="116"/>
    </row>
    <row r="55" spans="1:59" s="6" customFormat="1" ht="21" customHeight="1" thickBot="1" x14ac:dyDescent="0.35">
      <c r="A55" s="115"/>
      <c r="B55" s="313"/>
      <c r="C55" s="314"/>
      <c r="D55" s="315"/>
      <c r="E55" s="104"/>
      <c r="F55" s="117"/>
      <c r="G55" s="117"/>
      <c r="H55" s="104"/>
      <c r="I55" s="104"/>
      <c r="J55" s="104"/>
      <c r="K55" s="104"/>
    </row>
    <row r="56" spans="1:59" s="6" customFormat="1" ht="24.75" customHeight="1" x14ac:dyDescent="0.3">
      <c r="A56" s="115"/>
      <c r="B56" s="313"/>
      <c r="C56" s="314"/>
      <c r="D56" s="315"/>
      <c r="E56" s="104"/>
      <c r="F56" s="104"/>
      <c r="G56" s="104"/>
      <c r="H56" s="323" t="s">
        <v>83</v>
      </c>
      <c r="I56" s="324"/>
      <c r="J56" s="325"/>
      <c r="K56" s="104"/>
    </row>
    <row r="57" spans="1:59" s="6" customFormat="1" ht="24.75" customHeight="1" x14ac:dyDescent="0.3">
      <c r="A57" s="115"/>
      <c r="B57" s="313"/>
      <c r="C57" s="314"/>
      <c r="D57" s="315"/>
      <c r="E57" s="104"/>
      <c r="F57" s="104"/>
      <c r="G57" s="104"/>
      <c r="H57" s="326"/>
      <c r="I57" s="327"/>
      <c r="J57" s="328"/>
      <c r="K57" s="104"/>
    </row>
    <row r="58" spans="1:59" s="6" customFormat="1" ht="24" customHeight="1" thickBot="1" x14ac:dyDescent="0.35">
      <c r="A58" s="115"/>
      <c r="B58" s="316"/>
      <c r="C58" s="317"/>
      <c r="D58" s="318"/>
      <c r="E58" s="104"/>
      <c r="F58" s="117"/>
      <c r="G58" s="117"/>
      <c r="H58" s="329"/>
      <c r="I58" s="330"/>
      <c r="J58" s="331"/>
      <c r="K58" s="116"/>
    </row>
    <row r="59" spans="1:59" s="6" customFormat="1" ht="16.5" customHeight="1" thickBot="1" x14ac:dyDescent="0.35">
      <c r="A59" s="115"/>
      <c r="B59" s="104"/>
      <c r="C59" s="104"/>
      <c r="D59" s="104"/>
      <c r="E59" s="104"/>
      <c r="F59" s="117"/>
      <c r="G59" s="117"/>
      <c r="H59" s="104"/>
      <c r="I59" s="104"/>
      <c r="J59" s="104"/>
      <c r="K59" s="116"/>
    </row>
    <row r="60" spans="1:59" s="6" customFormat="1" ht="174" customHeight="1" thickBot="1" x14ac:dyDescent="0.35">
      <c r="A60" s="115"/>
      <c r="B60" s="332" t="s">
        <v>151</v>
      </c>
      <c r="C60" s="333"/>
      <c r="D60" s="334"/>
      <c r="E60" s="104"/>
      <c r="F60" s="117"/>
      <c r="G60" s="117"/>
      <c r="H60" s="335" t="s">
        <v>153</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64"/>
      <c r="D62" s="264"/>
      <c r="E62" s="9"/>
      <c r="F62" s="7"/>
      <c r="G62" s="7"/>
      <c r="H62" s="7"/>
      <c r="I62" s="7"/>
      <c r="J62" s="7"/>
      <c r="K62" s="9"/>
    </row>
    <row r="63" spans="1:59" s="6" customFormat="1" ht="13" x14ac:dyDescent="0.3">
      <c r="A63" s="9"/>
      <c r="B63" s="264"/>
      <c r="C63" s="264"/>
      <c r="D63" s="264"/>
      <c r="E63" s="9"/>
      <c r="F63" s="7"/>
      <c r="G63" s="7"/>
      <c r="H63" s="7"/>
      <c r="I63" s="7"/>
      <c r="J63" s="7"/>
      <c r="K63" s="9"/>
    </row>
    <row r="64" spans="1:59" s="6" customFormat="1" ht="17.25" customHeight="1" x14ac:dyDescent="0.3">
      <c r="A64" s="9"/>
      <c r="B64" s="158"/>
      <c r="C64" s="264"/>
      <c r="D64" s="264"/>
      <c r="E64" s="9"/>
      <c r="F64" s="7"/>
      <c r="G64" s="7"/>
      <c r="H64" s="7"/>
      <c r="I64" s="7"/>
      <c r="J64" s="7"/>
      <c r="K64" s="9"/>
    </row>
    <row r="65" spans="1:11" s="6" customFormat="1" ht="13" x14ac:dyDescent="0.3">
      <c r="A65" s="9"/>
      <c r="B65" s="264"/>
      <c r="C65" s="264"/>
      <c r="D65" s="264"/>
      <c r="E65" s="9"/>
      <c r="F65" s="7"/>
      <c r="G65" s="7"/>
      <c r="H65" s="7"/>
      <c r="I65" s="7"/>
      <c r="J65" s="7"/>
      <c r="K65" s="9"/>
    </row>
    <row r="66" spans="1:11" s="6" customFormat="1" ht="13" x14ac:dyDescent="0.3">
      <c r="A66" s="9"/>
      <c r="B66" s="264"/>
      <c r="C66" s="264"/>
      <c r="D66" s="264"/>
      <c r="E66" s="9"/>
      <c r="F66" s="7"/>
      <c r="G66" s="7"/>
      <c r="H66" s="306"/>
      <c r="I66" s="307"/>
      <c r="J66" s="307"/>
      <c r="K66" s="9"/>
    </row>
    <row r="67" spans="1:11" s="6" customFormat="1" ht="13" x14ac:dyDescent="0.3">
      <c r="A67" s="9"/>
      <c r="B67" s="264"/>
      <c r="C67" s="264"/>
      <c r="D67" s="264"/>
      <c r="E67" s="9"/>
      <c r="F67" s="7"/>
      <c r="G67" s="7"/>
      <c r="H67" s="307"/>
      <c r="I67" s="307"/>
      <c r="J67" s="307"/>
      <c r="K67" s="9"/>
    </row>
    <row r="68" spans="1:11" s="6" customFormat="1" x14ac:dyDescent="0.25">
      <c r="A68" s="8"/>
      <c r="B68" s="264"/>
      <c r="C68" s="264"/>
      <c r="D68" s="264"/>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formatCells="0" formatColumns="0" formatRows="0" insertColumns="0" insertRows="0" insertHyperlinks="0" deleteColumns="0" deleteRows="0" sort="0" autoFilter="0" pivotTables="0"/>
  <mergeCells count="11">
    <mergeCell ref="H66:J82"/>
    <mergeCell ref="B2:J2"/>
    <mergeCell ref="D19:D38"/>
    <mergeCell ref="B40:D40"/>
    <mergeCell ref="B41:B42"/>
    <mergeCell ref="B51:D58"/>
    <mergeCell ref="H53:I53"/>
    <mergeCell ref="H54:I54"/>
    <mergeCell ref="H56:J58"/>
    <mergeCell ref="B60:D60"/>
    <mergeCell ref="H60:J60"/>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election activeCell="B59" sqref="B59"/>
    </sheetView>
  </sheetViews>
  <sheetFormatPr baseColWidth="10" defaultRowHeight="12.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DCADB"/>
  </sheetPr>
  <dimension ref="A1:BG265"/>
  <sheetViews>
    <sheetView workbookViewId="0">
      <selection activeCell="C7" sqref="C7"/>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86.25" customHeight="1" thickBot="1" x14ac:dyDescent="0.3">
      <c r="A2" s="107"/>
      <c r="B2" s="292" t="s">
        <v>179</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296" t="s">
        <v>3</v>
      </c>
      <c r="C5" s="298" t="s">
        <v>4</v>
      </c>
      <c r="D5" s="300"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297"/>
      <c r="C6" s="299"/>
      <c r="D6" s="301"/>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v>0</v>
      </c>
      <c r="D7" s="21"/>
      <c r="E7" s="103"/>
      <c r="F7" s="42"/>
      <c r="G7" s="112"/>
      <c r="H7" s="82"/>
      <c r="I7" s="79"/>
      <c r="J7" s="25"/>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v>0</v>
      </c>
      <c r="D8" s="22"/>
      <c r="E8" s="103"/>
      <c r="F8" s="42"/>
      <c r="G8" s="112"/>
      <c r="H8" s="82" t="s">
        <v>58</v>
      </c>
      <c r="I8" s="36"/>
      <c r="J8" s="26"/>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v>0</v>
      </c>
      <c r="D9" s="22"/>
      <c r="E9" s="103"/>
      <c r="F9" s="42"/>
      <c r="G9" s="112"/>
      <c r="H9" s="278" t="s">
        <v>45</v>
      </c>
      <c r="I9" s="51"/>
      <c r="J9" s="73">
        <f>PRODUCT($C$10,5.13)</f>
        <v>0</v>
      </c>
      <c r="K9" s="114"/>
      <c r="L9" s="105">
        <f>IF(C13&gt;19.5,19.5,C13)</f>
        <v>18.600000000000001</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0</v>
      </c>
      <c r="D10" s="23"/>
      <c r="E10" s="103"/>
      <c r="F10" s="42"/>
      <c r="G10" s="112"/>
      <c r="H10" s="82" t="s">
        <v>59</v>
      </c>
      <c r="I10" s="79"/>
      <c r="J10" s="25"/>
      <c r="K10" s="114"/>
      <c r="L10" s="105">
        <f>IF(C16&gt;25.9,25.9,C16)</f>
        <v>24.7</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v>0</v>
      </c>
      <c r="D11" s="61">
        <f>(C11*D13)/(C13)</f>
        <v>0</v>
      </c>
      <c r="E11" s="103"/>
      <c r="F11" s="42"/>
      <c r="G11" s="112"/>
      <c r="H11" s="80" t="s">
        <v>46</v>
      </c>
      <c r="I11" s="79"/>
      <c r="J11" s="25">
        <f>PRODUCT($C$10,20.5)-J9</f>
        <v>0</v>
      </c>
      <c r="K11" s="114"/>
      <c r="L11" s="105">
        <f>IF(C17&gt;16.15,16.15,C17)</f>
        <v>15.4</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280" t="s">
        <v>173</v>
      </c>
      <c r="C13" s="60">
        <v>18.600000000000001</v>
      </c>
      <c r="D13" s="63">
        <f>L9</f>
        <v>18.600000000000001</v>
      </c>
      <c r="E13" s="103"/>
      <c r="F13" s="42"/>
      <c r="G13" s="112"/>
      <c r="H13" s="30" t="s">
        <v>11</v>
      </c>
      <c r="I13" s="31"/>
      <c r="J13" s="32">
        <f>J11-D18</f>
        <v>0</v>
      </c>
      <c r="K13" s="114"/>
      <c r="L13" s="105">
        <f>J11*0.9</f>
        <v>0</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v>0</v>
      </c>
      <c r="D14" s="62">
        <f>(C14*D17)/(C17)</f>
        <v>0</v>
      </c>
      <c r="E14" s="103"/>
      <c r="F14" s="42"/>
      <c r="G14" s="112"/>
      <c r="H14" s="278" t="s">
        <v>122</v>
      </c>
      <c r="I14" s="51"/>
      <c r="J14" s="73">
        <f>IF(L15&lt;0,0,L15)</f>
        <v>0</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4">
        <v>0</v>
      </c>
      <c r="D15" s="62">
        <f>(C15*D16)/(C16)</f>
        <v>0</v>
      </c>
      <c r="E15" s="103"/>
      <c r="F15" s="42"/>
      <c r="G15" s="112"/>
      <c r="H15" s="74" t="s">
        <v>1</v>
      </c>
      <c r="I15" s="75"/>
      <c r="J15" s="34">
        <f>(C10*20.5)-J9-J14</f>
        <v>0</v>
      </c>
      <c r="K15" s="114"/>
      <c r="L15" s="105">
        <f>J13*0.9</f>
        <v>0</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280" t="s">
        <v>174</v>
      </c>
      <c r="C16" s="93">
        <v>24.7</v>
      </c>
      <c r="D16" s="63">
        <f>L10</f>
        <v>24.7</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280" t="s">
        <v>175</v>
      </c>
      <c r="C17" s="65">
        <v>15.4</v>
      </c>
      <c r="D17" s="64">
        <f>L11</f>
        <v>15.4</v>
      </c>
      <c r="E17" s="103"/>
      <c r="F17" s="42"/>
      <c r="G17" s="112"/>
      <c r="H17" s="52" t="s">
        <v>30</v>
      </c>
      <c r="I17" s="53"/>
      <c r="J17" s="73">
        <f>C8*20.5</f>
        <v>0</v>
      </c>
      <c r="K17" s="114"/>
      <c r="L17" s="105">
        <f>IF(L15&lt;L13,L15,L13)</f>
        <v>0</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138" t="s">
        <v>36</v>
      </c>
      <c r="C19" s="148">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149">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150">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181</v>
      </c>
      <c r="C22" s="150">
        <v>0</v>
      </c>
      <c r="D22" s="303"/>
      <c r="E22" s="103"/>
      <c r="F22" s="42"/>
      <c r="G22" s="112"/>
      <c r="H22" s="165"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0" t="s">
        <v>188</v>
      </c>
      <c r="C23" s="151">
        <v>0</v>
      </c>
      <c r="D23" s="303"/>
      <c r="E23" s="103"/>
      <c r="F23" s="42"/>
      <c r="G23" s="112"/>
      <c r="H23" s="82"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285" t="s">
        <v>191</v>
      </c>
      <c r="C24" s="1">
        <v>0</v>
      </c>
      <c r="D24" s="303"/>
      <c r="E24" s="103"/>
      <c r="F24" s="42"/>
      <c r="G24" s="112"/>
      <c r="H24" s="82"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40" t="s">
        <v>186</v>
      </c>
      <c r="C25" s="243">
        <v>0</v>
      </c>
      <c r="D25" s="303"/>
      <c r="E25" s="103"/>
      <c r="F25" s="42"/>
      <c r="G25" s="112"/>
      <c r="H25" s="284" t="s">
        <v>184</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0" t="s">
        <v>189</v>
      </c>
      <c r="C26" s="260">
        <v>0</v>
      </c>
      <c r="D26" s="303"/>
      <c r="E26" s="103"/>
      <c r="F26" s="42"/>
      <c r="G26" s="112"/>
      <c r="H26" s="284" t="s">
        <v>190</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38" t="s">
        <v>8</v>
      </c>
      <c r="C27" s="2">
        <v>0</v>
      </c>
      <c r="D27" s="303"/>
      <c r="E27" s="103"/>
      <c r="F27" s="42"/>
      <c r="G27" s="112"/>
      <c r="H27" s="284" t="s">
        <v>187</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39" t="s">
        <v>18</v>
      </c>
      <c r="C28" s="188">
        <v>0</v>
      </c>
      <c r="D28" s="303"/>
      <c r="E28" s="103"/>
      <c r="F28" s="42"/>
      <c r="G28" s="112"/>
      <c r="H28" s="284" t="s">
        <v>183</v>
      </c>
      <c r="I28" s="36" t="s">
        <v>123</v>
      </c>
      <c r="J28" s="168">
        <f>PRODUCT(C25,110)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v>0</v>
      </c>
      <c r="D29" s="303"/>
      <c r="E29" s="103"/>
      <c r="F29" s="42"/>
      <c r="G29" s="112"/>
      <c r="H29" s="284" t="s">
        <v>192</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181</v>
      </c>
      <c r="C30" s="154">
        <v>0</v>
      </c>
      <c r="D30" s="303"/>
      <c r="E30" s="103"/>
      <c r="F30" s="42"/>
      <c r="G30" s="112"/>
      <c r="H30" s="166"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0" t="s">
        <v>185</v>
      </c>
      <c r="C31" s="154">
        <v>0</v>
      </c>
      <c r="D31" s="303"/>
      <c r="E31" s="103"/>
      <c r="F31" s="42"/>
      <c r="G31" s="112"/>
      <c r="H31" s="82" t="s">
        <v>22</v>
      </c>
      <c r="I31" s="171" t="s">
        <v>34</v>
      </c>
      <c r="J31" s="168">
        <f>PRODUCT(C28,5.5)</f>
        <v>0</v>
      </c>
      <c r="K31" s="111"/>
      <c r="L31" s="105"/>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0" t="s">
        <v>188</v>
      </c>
      <c r="C32" s="155">
        <v>0</v>
      </c>
      <c r="D32" s="303"/>
      <c r="E32" s="103"/>
      <c r="F32" s="42"/>
      <c r="G32" s="112"/>
      <c r="H32" s="82"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38" t="s">
        <v>9</v>
      </c>
      <c r="C33" s="190">
        <v>0</v>
      </c>
      <c r="D33" s="304"/>
      <c r="E33" s="103"/>
      <c r="F33" s="42"/>
      <c r="G33" s="112"/>
      <c r="H33" s="284" t="s">
        <v>193</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9">
        <v>0</v>
      </c>
      <c r="D34" s="304"/>
      <c r="E34" s="103"/>
      <c r="F34" s="42"/>
      <c r="G34" s="112"/>
      <c r="H34" s="284" t="s">
        <v>194</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2">
        <v>0</v>
      </c>
      <c r="D35" s="304"/>
      <c r="E35" s="103"/>
      <c r="F35" s="42"/>
      <c r="G35" s="112"/>
      <c r="H35" s="284" t="s">
        <v>195</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181</v>
      </c>
      <c r="C36" s="152">
        <v>0</v>
      </c>
      <c r="D36" s="304"/>
      <c r="E36" s="103"/>
      <c r="F36" s="10"/>
      <c r="G36" s="10"/>
      <c r="H36" s="166"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182</v>
      </c>
      <c r="C37" s="152">
        <v>0</v>
      </c>
      <c r="D37" s="304"/>
      <c r="E37" s="103"/>
      <c r="F37" s="42"/>
      <c r="G37" s="112"/>
      <c r="H37" s="82"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0" t="s">
        <v>189</v>
      </c>
      <c r="C38" s="153">
        <v>0</v>
      </c>
      <c r="D38" s="305"/>
      <c r="E38" s="103"/>
      <c r="F38" s="42"/>
      <c r="G38" s="112"/>
      <c r="H38" s="82"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18"/>
      <c r="B39" s="118"/>
      <c r="C39" s="118"/>
      <c r="D39" s="118"/>
      <c r="E39" s="103"/>
      <c r="F39" s="42"/>
      <c r="G39" s="112"/>
      <c r="H39" s="284" t="s">
        <v>196</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18"/>
      <c r="B40" s="289" t="s">
        <v>119</v>
      </c>
      <c r="C40" s="290"/>
      <c r="D40" s="291"/>
      <c r="E40" s="103"/>
      <c r="F40" s="42"/>
      <c r="G40" s="112"/>
      <c r="H40" s="284" t="s">
        <v>197</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1" customHeight="1" thickBot="1" x14ac:dyDescent="0.3">
      <c r="A41" s="118"/>
      <c r="B41" s="308" t="s">
        <v>120</v>
      </c>
      <c r="C41" s="259" t="s">
        <v>4</v>
      </c>
      <c r="D41" s="258"/>
      <c r="E41" s="103"/>
      <c r="F41" s="10"/>
      <c r="G41" s="10"/>
      <c r="H41" s="284" t="s">
        <v>198</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2.5" customHeight="1" thickBot="1" x14ac:dyDescent="0.35">
      <c r="A42" s="118"/>
      <c r="B42" s="309"/>
      <c r="C42" s="250">
        <f>SUM(C47:C49)</f>
        <v>0</v>
      </c>
      <c r="D42" s="257" t="s">
        <v>114</v>
      </c>
      <c r="E42" s="103"/>
      <c r="F42" s="42"/>
      <c r="G42" s="42"/>
      <c r="H42" s="86" t="s">
        <v>48</v>
      </c>
      <c r="I42" s="252"/>
      <c r="J42" s="253">
        <v>0</v>
      </c>
      <c r="K42" s="111"/>
      <c r="L42" s="105"/>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85" t="s">
        <v>86</v>
      </c>
      <c r="I43" s="254"/>
      <c r="J43" s="73">
        <f>IF(SUM(J22,J30,J36)&gt;0,SUM(J22:J42),SUM(J23:J29,J31:J35,J37:J41))</f>
        <v>0</v>
      </c>
      <c r="K43" s="111"/>
      <c r="L43" s="106"/>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06"/>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row>
    <row r="47" spans="1:59" s="6" customFormat="1" ht="23.25" customHeight="1" thickBot="1" x14ac:dyDescent="0.35">
      <c r="A47" s="115"/>
      <c r="B47" s="156" t="s">
        <v>110</v>
      </c>
      <c r="C47" s="243">
        <v>0</v>
      </c>
      <c r="D47" s="240"/>
      <c r="E47" s="104"/>
      <c r="F47" s="5"/>
      <c r="G47" s="5"/>
      <c r="H47" s="33" t="s">
        <v>49</v>
      </c>
      <c r="I47" s="39"/>
      <c r="J47" s="40">
        <f>SUM(PRODUCT(SUM(C19,-C20,-C21,-C22,-C23),5.11),PRODUCT(SUM(C27,-C28,-C29,-C30,-C31,-C32),2.28),PRODUCT(SUM(C33,-C34,-C35,-C36,-C37,-C38),19.89),0)</f>
        <v>0</v>
      </c>
      <c r="K47" s="116"/>
      <c r="L47" s="105">
        <f>J47*0.9</f>
        <v>0</v>
      </c>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87"/>
      <c r="AN47" s="87"/>
      <c r="AO47" s="87"/>
      <c r="AP47" s="87"/>
      <c r="AQ47" s="87"/>
      <c r="AR47" s="87"/>
      <c r="AS47" s="87"/>
      <c r="AT47" s="87"/>
      <c r="AU47" s="87"/>
      <c r="AV47" s="87"/>
      <c r="AW47" s="87"/>
      <c r="AX47" s="87"/>
      <c r="AY47" s="87"/>
      <c r="AZ47" s="87"/>
      <c r="BA47" s="87"/>
      <c r="BB47" s="87"/>
      <c r="BC47" s="87"/>
      <c r="BD47" s="87"/>
      <c r="BE47" s="87"/>
      <c r="BF47" s="87"/>
      <c r="BG47" s="87"/>
    </row>
    <row r="48" spans="1:59" s="6" customFormat="1" ht="23.25" customHeight="1" thickBot="1" x14ac:dyDescent="0.4">
      <c r="A48" s="115"/>
      <c r="B48" s="140" t="s">
        <v>111</v>
      </c>
      <c r="C48" s="244">
        <v>0</v>
      </c>
      <c r="D48" s="239"/>
      <c r="E48" s="104"/>
      <c r="F48" s="5"/>
      <c r="G48" s="5"/>
      <c r="H48" s="85" t="s">
        <v>121</v>
      </c>
      <c r="I48" s="69"/>
      <c r="J48" s="73">
        <f>IF(L48&gt;L47,IF(L47&lt;0,0,L47),IF(L48&lt;0,0,L48))</f>
        <v>0</v>
      </c>
      <c r="K48" s="116"/>
      <c r="L48" s="105">
        <f>SUM((J11+J47)-D18)*0.9</f>
        <v>0</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89"/>
      <c r="AN48" s="89"/>
      <c r="AO48" s="89"/>
      <c r="AP48" s="89"/>
      <c r="AQ48" s="89"/>
      <c r="AR48" s="89"/>
      <c r="AS48" s="89"/>
      <c r="AT48" s="89"/>
      <c r="AU48" s="89"/>
      <c r="AV48" s="89"/>
      <c r="AW48" s="89"/>
      <c r="AX48" s="89"/>
      <c r="AY48" s="89"/>
      <c r="AZ48" s="89"/>
      <c r="BA48" s="89"/>
      <c r="BB48" s="89"/>
      <c r="BC48" s="89"/>
      <c r="BD48" s="89"/>
      <c r="BE48" s="89"/>
      <c r="BF48" s="89"/>
      <c r="BG48" s="89"/>
    </row>
    <row r="49" spans="1:59" s="6" customFormat="1" ht="21" customHeight="1" thickBot="1" x14ac:dyDescent="0.35">
      <c r="A49" s="115"/>
      <c r="B49" s="143" t="s">
        <v>112</v>
      </c>
      <c r="C49" s="245">
        <v>0</v>
      </c>
      <c r="D49" s="241"/>
      <c r="E49" s="104"/>
      <c r="F49" s="5"/>
      <c r="G49" s="5"/>
      <c r="H49" s="118"/>
      <c r="I49" s="118"/>
      <c r="J49" s="118"/>
      <c r="K49" s="116"/>
      <c r="L49" s="89"/>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89"/>
      <c r="AN49" s="89"/>
      <c r="AO49" s="89"/>
      <c r="AP49" s="89"/>
      <c r="AQ49" s="89"/>
      <c r="AR49" s="89"/>
      <c r="AS49" s="89"/>
      <c r="AT49" s="89"/>
      <c r="AU49" s="89"/>
      <c r="AV49" s="89"/>
      <c r="AW49" s="89"/>
      <c r="AX49" s="89"/>
      <c r="AY49" s="89"/>
      <c r="AZ49" s="89"/>
      <c r="BA49" s="89"/>
      <c r="BB49" s="89"/>
      <c r="BC49" s="89"/>
      <c r="BD49" s="89"/>
      <c r="BE49" s="89"/>
      <c r="BF49" s="89"/>
      <c r="BG49" s="89"/>
    </row>
    <row r="50" spans="1:59" s="6" customFormat="1" ht="21.75" customHeight="1" thickBot="1" x14ac:dyDescent="0.4">
      <c r="A50" s="115"/>
      <c r="B50" s="118"/>
      <c r="C50" s="118"/>
      <c r="D50" s="118"/>
      <c r="E50" s="104"/>
      <c r="F50" s="5"/>
      <c r="G50" s="5"/>
      <c r="H50" s="236" t="s">
        <v>115</v>
      </c>
      <c r="I50" s="237"/>
      <c r="J50" s="73">
        <f>IF(SUM(C47*(669.8-61.35),C48*(654.5-61.35),C49*(721-61.35))&lt;50,0,SUM(C47*(669.8-61.35),C48*(654.5-61.35),C49*(721-61.35)))</f>
        <v>0</v>
      </c>
      <c r="K50" s="116"/>
      <c r="L50" s="84"/>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89"/>
      <c r="AN50" s="89"/>
      <c r="AO50" s="89"/>
      <c r="AP50" s="89"/>
      <c r="AQ50" s="89"/>
      <c r="AR50" s="89"/>
      <c r="AS50" s="89"/>
      <c r="AT50" s="89"/>
      <c r="AU50" s="89"/>
      <c r="AV50" s="89"/>
      <c r="AW50" s="89"/>
      <c r="AX50" s="89"/>
      <c r="AY50" s="89"/>
      <c r="AZ50" s="89"/>
      <c r="BA50" s="89"/>
      <c r="BB50" s="89"/>
      <c r="BC50" s="89"/>
      <c r="BD50" s="89"/>
      <c r="BE50" s="89"/>
      <c r="BF50" s="89"/>
      <c r="BG50" s="89"/>
    </row>
    <row r="51" spans="1:59" s="6" customFormat="1" ht="18.75" customHeight="1" thickBot="1" x14ac:dyDescent="0.35">
      <c r="A51" s="115"/>
      <c r="B51" s="338" t="s">
        <v>116</v>
      </c>
      <c r="C51" s="339"/>
      <c r="D51" s="340"/>
      <c r="E51" s="104"/>
      <c r="F51" s="117"/>
      <c r="G51" s="117"/>
      <c r="H51" s="118"/>
      <c r="I51" s="118"/>
      <c r="J51" s="118"/>
      <c r="K51" s="116"/>
      <c r="L51" s="84"/>
      <c r="M51" s="84"/>
      <c r="N51" s="84"/>
    </row>
    <row r="52" spans="1:59" s="6" customFormat="1" ht="19.5" customHeight="1" thickBot="1" x14ac:dyDescent="0.4">
      <c r="A52" s="115"/>
      <c r="B52" s="341"/>
      <c r="C52" s="342"/>
      <c r="D52" s="343"/>
      <c r="E52" s="104"/>
      <c r="F52" s="117"/>
      <c r="G52" s="117"/>
      <c r="H52" s="183" t="s">
        <v>31</v>
      </c>
      <c r="I52" s="144"/>
      <c r="J52" s="198">
        <f>SUM(J9,J14,J17,J18,J43,J48,J50)</f>
        <v>0</v>
      </c>
      <c r="K52" s="116"/>
    </row>
    <row r="53" spans="1:59" s="6" customFormat="1" ht="19.5" customHeight="1" x14ac:dyDescent="0.3">
      <c r="A53" s="115"/>
      <c r="B53" s="341"/>
      <c r="C53" s="342"/>
      <c r="D53" s="343"/>
      <c r="E53" s="104"/>
      <c r="F53" s="117"/>
      <c r="G53" s="117"/>
      <c r="H53" s="319" t="s">
        <v>171</v>
      </c>
      <c r="I53" s="320"/>
      <c r="J53" s="135">
        <f>SUM(C7*20.5,C19*20.45,C24*25,C27*3.66,C33*35.04)</f>
        <v>0</v>
      </c>
      <c r="K53" s="116"/>
    </row>
    <row r="54" spans="1:59" s="6" customFormat="1" ht="19.5" customHeight="1" thickBot="1" x14ac:dyDescent="0.35">
      <c r="A54" s="115"/>
      <c r="B54" s="341"/>
      <c r="C54" s="342"/>
      <c r="D54" s="343"/>
      <c r="E54" s="104"/>
      <c r="F54" s="117"/>
      <c r="G54" s="117"/>
      <c r="H54" s="321" t="s">
        <v>51</v>
      </c>
      <c r="I54" s="322"/>
      <c r="J54" s="91">
        <f>J53-J52+J50</f>
        <v>0</v>
      </c>
      <c r="K54" s="116"/>
    </row>
    <row r="55" spans="1:59" s="6" customFormat="1" ht="18.75" customHeight="1" thickBot="1" x14ac:dyDescent="0.35">
      <c r="A55" s="115"/>
      <c r="B55" s="341"/>
      <c r="C55" s="342"/>
      <c r="D55" s="343"/>
      <c r="E55" s="104"/>
      <c r="F55" s="117"/>
      <c r="G55" s="117"/>
      <c r="H55" s="118"/>
      <c r="I55" s="118"/>
      <c r="J55" s="157"/>
      <c r="K55" s="116"/>
    </row>
    <row r="56" spans="1:59" s="6" customFormat="1" ht="24.75" customHeight="1" x14ac:dyDescent="0.3">
      <c r="A56" s="115"/>
      <c r="B56" s="341"/>
      <c r="C56" s="342"/>
      <c r="D56" s="343"/>
      <c r="E56" s="104"/>
      <c r="F56" s="117"/>
      <c r="G56" s="117"/>
      <c r="H56" s="347" t="s">
        <v>83</v>
      </c>
      <c r="I56" s="348"/>
      <c r="J56" s="349"/>
      <c r="K56" s="116"/>
    </row>
    <row r="57" spans="1:59" s="6" customFormat="1" ht="16.5" customHeight="1" x14ac:dyDescent="0.3">
      <c r="A57" s="115"/>
      <c r="B57" s="341"/>
      <c r="C57" s="342"/>
      <c r="D57" s="343"/>
      <c r="E57" s="104"/>
      <c r="F57" s="117"/>
      <c r="G57" s="117"/>
      <c r="H57" s="350"/>
      <c r="I57" s="351"/>
      <c r="J57" s="352"/>
      <c r="K57" s="116"/>
    </row>
    <row r="58" spans="1:59" s="6" customFormat="1" ht="39" customHeight="1" thickBot="1" x14ac:dyDescent="0.35">
      <c r="A58" s="115"/>
      <c r="B58" s="344"/>
      <c r="C58" s="345"/>
      <c r="D58" s="346"/>
      <c r="E58" s="104"/>
      <c r="F58" s="117"/>
      <c r="G58" s="117"/>
      <c r="H58" s="353"/>
      <c r="I58" s="354"/>
      <c r="J58" s="355"/>
      <c r="K58" s="116"/>
    </row>
    <row r="59" spans="1:59" s="6" customFormat="1" ht="16.5" customHeight="1" thickBot="1" x14ac:dyDescent="0.35">
      <c r="A59" s="115"/>
      <c r="B59" s="104"/>
      <c r="C59" s="104"/>
      <c r="D59" s="104"/>
      <c r="E59" s="104"/>
      <c r="F59" s="117"/>
      <c r="G59" s="117"/>
      <c r="H59" s="104"/>
      <c r="I59" s="104"/>
      <c r="J59" s="104"/>
      <c r="K59" s="116"/>
    </row>
    <row r="60" spans="1:59" s="6" customFormat="1" ht="172.5" customHeight="1" thickBot="1" x14ac:dyDescent="0.35">
      <c r="A60" s="115"/>
      <c r="B60" s="332" t="s">
        <v>180</v>
      </c>
      <c r="C60" s="333"/>
      <c r="D60" s="334"/>
      <c r="E60" s="104"/>
      <c r="F60" s="117"/>
      <c r="G60" s="117"/>
      <c r="H60" s="335" t="s">
        <v>135</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79"/>
      <c r="D62" s="279"/>
      <c r="E62" s="9"/>
      <c r="F62" s="7"/>
      <c r="G62" s="7"/>
      <c r="H62" s="7"/>
      <c r="I62" s="7"/>
      <c r="J62" s="7"/>
      <c r="K62" s="9"/>
    </row>
    <row r="63" spans="1:59" s="6" customFormat="1" ht="13" x14ac:dyDescent="0.3">
      <c r="A63" s="9"/>
      <c r="B63" s="279"/>
      <c r="C63" s="279"/>
      <c r="D63" s="279"/>
      <c r="E63" s="9"/>
      <c r="F63" s="7"/>
      <c r="G63" s="7"/>
      <c r="H63" s="7"/>
      <c r="I63" s="7"/>
      <c r="J63" s="7"/>
      <c r="K63" s="9"/>
    </row>
    <row r="64" spans="1:59" s="6" customFormat="1" ht="17.25" customHeight="1" x14ac:dyDescent="0.3">
      <c r="A64" s="9"/>
      <c r="B64" s="158"/>
      <c r="C64" s="279"/>
      <c r="D64" s="279"/>
      <c r="E64" s="9"/>
      <c r="F64" s="7"/>
      <c r="G64" s="7"/>
      <c r="H64" s="7"/>
      <c r="I64" s="7"/>
      <c r="J64" s="7"/>
      <c r="K64" s="9"/>
    </row>
    <row r="65" spans="1:11" s="6" customFormat="1" ht="13" x14ac:dyDescent="0.3">
      <c r="A65" s="9"/>
      <c r="B65" s="279"/>
      <c r="C65" s="279"/>
      <c r="D65" s="279"/>
      <c r="E65" s="9"/>
      <c r="F65" s="7"/>
      <c r="G65" s="7"/>
      <c r="H65" s="7"/>
      <c r="I65" s="7"/>
      <c r="J65" s="7"/>
      <c r="K65" s="9"/>
    </row>
    <row r="66" spans="1:11" s="6" customFormat="1" ht="13" x14ac:dyDescent="0.3">
      <c r="A66" s="9"/>
      <c r="B66" s="279"/>
      <c r="C66" s="279"/>
      <c r="D66" s="279"/>
      <c r="E66" s="9"/>
      <c r="F66" s="7"/>
      <c r="G66" s="7"/>
      <c r="H66" s="306"/>
      <c r="I66" s="307"/>
      <c r="J66" s="307"/>
      <c r="K66" s="9"/>
    </row>
    <row r="67" spans="1:11" s="6" customFormat="1" ht="13" x14ac:dyDescent="0.3">
      <c r="A67" s="9"/>
      <c r="B67" s="279"/>
      <c r="C67" s="279"/>
      <c r="D67" s="279"/>
      <c r="E67" s="9"/>
      <c r="F67" s="7"/>
      <c r="G67" s="7"/>
      <c r="H67" s="307"/>
      <c r="I67" s="307"/>
      <c r="J67" s="307"/>
      <c r="K67" s="9"/>
    </row>
    <row r="68" spans="1:11" s="6" customFormat="1" x14ac:dyDescent="0.25">
      <c r="A68" s="8"/>
      <c r="B68" s="279"/>
      <c r="C68" s="279"/>
      <c r="D68" s="279"/>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password="C6AA" sheet="1" objects="1" scenarios="1"/>
  <mergeCells count="14">
    <mergeCell ref="B60:D60"/>
    <mergeCell ref="H60:J60"/>
    <mergeCell ref="H66:J82"/>
    <mergeCell ref="B5:B6"/>
    <mergeCell ref="C5:C6"/>
    <mergeCell ref="D5:D6"/>
    <mergeCell ref="B2:J2"/>
    <mergeCell ref="D19:D38"/>
    <mergeCell ref="B40:D40"/>
    <mergeCell ref="B41:B42"/>
    <mergeCell ref="B51:D58"/>
    <mergeCell ref="H53:I53"/>
    <mergeCell ref="H54:I54"/>
    <mergeCell ref="H56:J58"/>
  </mergeCells>
  <pageMargins left="0.7" right="0.7" top="0.78740157499999996" bottom="0.78740157499999996"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G265"/>
  <sheetViews>
    <sheetView zoomScaleNormal="100" workbookViewId="0">
      <selection activeCell="C8" sqref="C8"/>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3.75" customHeight="1" thickBot="1" x14ac:dyDescent="0.3">
      <c r="A2" s="107"/>
      <c r="B2" s="292" t="s">
        <v>176</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296" t="s">
        <v>3</v>
      </c>
      <c r="C5" s="298" t="s">
        <v>4</v>
      </c>
      <c r="D5" s="300"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297"/>
      <c r="C6" s="299"/>
      <c r="D6" s="301"/>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v>1000</v>
      </c>
      <c r="D7" s="21"/>
      <c r="E7" s="103"/>
      <c r="F7" s="42"/>
      <c r="G7" s="112"/>
      <c r="H7" s="80" t="s">
        <v>43</v>
      </c>
      <c r="I7" s="79" t="s">
        <v>52</v>
      </c>
      <c r="J7" s="25">
        <f>PRODUCT($C$10,5.13)</f>
        <v>5130</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v>0</v>
      </c>
      <c r="D8" s="22"/>
      <c r="E8" s="103"/>
      <c r="F8" s="42"/>
      <c r="G8" s="112"/>
      <c r="H8" s="82" t="s">
        <v>44</v>
      </c>
      <c r="I8" s="36" t="s">
        <v>53</v>
      </c>
      <c r="J8" s="26">
        <v>250</v>
      </c>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v>0</v>
      </c>
      <c r="D9" s="22"/>
      <c r="E9" s="103"/>
      <c r="F9" s="42"/>
      <c r="G9" s="112"/>
      <c r="H9" s="278" t="s">
        <v>45</v>
      </c>
      <c r="I9" s="51"/>
      <c r="J9" s="73">
        <f>IF(J7&lt;250.01,0,SUM(J7,-J8))</f>
        <v>4880</v>
      </c>
      <c r="K9" s="114"/>
      <c r="L9" s="105">
        <f>IF(C13&gt;19.5,19.5,C13)</f>
        <v>18.7</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1000</v>
      </c>
      <c r="D10" s="23"/>
      <c r="E10" s="103"/>
      <c r="F10" s="42"/>
      <c r="G10" s="112"/>
      <c r="H10" s="80" t="s">
        <v>46</v>
      </c>
      <c r="I10" s="79"/>
      <c r="J10" s="25">
        <f>IF($C$10&lt;48.732943,PRODUCT($C$10,20.5),(PRODUCT($C$10,20.5)-J9))</f>
        <v>15620</v>
      </c>
      <c r="K10" s="114"/>
      <c r="L10" s="105">
        <f>IF(C16&gt;25.9,25.9,C16)</f>
        <v>24.8</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v>0</v>
      </c>
      <c r="D11" s="61">
        <f>(C11*D13)/(C13)</f>
        <v>0</v>
      </c>
      <c r="E11" s="103"/>
      <c r="F11" s="42"/>
      <c r="G11" s="112"/>
      <c r="H11" s="27" t="s">
        <v>60</v>
      </c>
      <c r="I11" s="28"/>
      <c r="J11" s="29">
        <f>IF(J10&lt;1000,0,SUM(J10,-1000))</f>
        <v>14620</v>
      </c>
      <c r="K11" s="114"/>
      <c r="L11" s="105">
        <f>IF(C17&gt;16.15,16.15,C17)</f>
        <v>15.45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280" t="s">
        <v>173</v>
      </c>
      <c r="C13" s="60">
        <v>18.7</v>
      </c>
      <c r="D13" s="63">
        <f>L9</f>
        <v>18.7</v>
      </c>
      <c r="E13" s="103"/>
      <c r="F13" s="42"/>
      <c r="G13" s="112"/>
      <c r="H13" s="30" t="s">
        <v>11</v>
      </c>
      <c r="I13" s="31"/>
      <c r="J13" s="32">
        <f>J11-D18</f>
        <v>14620</v>
      </c>
      <c r="K13" s="114"/>
      <c r="L13" s="105">
        <f>J11*0.9</f>
        <v>13158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v>0</v>
      </c>
      <c r="D14" s="62">
        <f>(C14*D17)/(C17)</f>
        <v>0</v>
      </c>
      <c r="E14" s="103"/>
      <c r="F14" s="42"/>
      <c r="G14" s="112"/>
      <c r="H14" s="50" t="s">
        <v>122</v>
      </c>
      <c r="I14" s="51"/>
      <c r="J14" s="73">
        <f>IF(L15&lt;0,0,L15)</f>
        <v>13158</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4">
        <v>0</v>
      </c>
      <c r="D15" s="62">
        <f>(C15*D16)/(C16)</f>
        <v>0</v>
      </c>
      <c r="E15" s="103"/>
      <c r="F15" s="42"/>
      <c r="G15" s="112"/>
      <c r="H15" s="74" t="s">
        <v>1</v>
      </c>
      <c r="I15" s="75"/>
      <c r="J15" s="34">
        <f>(C10*20.5)-J9-J14</f>
        <v>2462</v>
      </c>
      <c r="K15" s="114"/>
      <c r="L15" s="105">
        <f>J13*0.9</f>
        <v>13158</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280" t="s">
        <v>174</v>
      </c>
      <c r="C16" s="93">
        <v>24.8</v>
      </c>
      <c r="D16" s="63">
        <f>L10</f>
        <v>24.8</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280" t="s">
        <v>175</v>
      </c>
      <c r="C17" s="65">
        <v>15.45</v>
      </c>
      <c r="D17" s="64">
        <f>L11</f>
        <v>15.45</v>
      </c>
      <c r="E17" s="103"/>
      <c r="F17" s="42"/>
      <c r="G17" s="112"/>
      <c r="H17" s="52" t="s">
        <v>30</v>
      </c>
      <c r="I17" s="53"/>
      <c r="J17" s="73">
        <f>C8*20.5</f>
        <v>0</v>
      </c>
      <c r="K17" s="114"/>
      <c r="L17" s="105">
        <f>IF(L15&lt;L13,L15,L13)</f>
        <v>13158</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285" t="s">
        <v>36</v>
      </c>
      <c r="C19" s="148">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149">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150">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100</v>
      </c>
      <c r="C22" s="150">
        <v>0</v>
      </c>
      <c r="D22" s="303"/>
      <c r="E22" s="103"/>
      <c r="F22" s="42"/>
      <c r="G22" s="112"/>
      <c r="H22" s="287"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66</v>
      </c>
      <c r="C23" s="151">
        <v>0</v>
      </c>
      <c r="D23" s="303"/>
      <c r="E23" s="103"/>
      <c r="F23" s="42"/>
      <c r="G23" s="112"/>
      <c r="H23" s="284"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285" t="s">
        <v>137</v>
      </c>
      <c r="C24" s="176">
        <v>0</v>
      </c>
      <c r="D24" s="303"/>
      <c r="E24" s="103"/>
      <c r="F24" s="42"/>
      <c r="G24" s="112"/>
      <c r="H24" s="284"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56" t="s">
        <v>125</v>
      </c>
      <c r="C25" s="243">
        <v>0</v>
      </c>
      <c r="D25" s="303"/>
      <c r="E25" s="103"/>
      <c r="F25" s="42"/>
      <c r="G25" s="112"/>
      <c r="H25" s="284" t="s">
        <v>67</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2" t="s">
        <v>82</v>
      </c>
      <c r="C26" s="260">
        <v>0</v>
      </c>
      <c r="D26" s="303"/>
      <c r="E26" s="103"/>
      <c r="F26" s="42"/>
      <c r="G26" s="112"/>
      <c r="H26" s="284" t="s">
        <v>68</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285" t="s">
        <v>8</v>
      </c>
      <c r="C27" s="2">
        <v>0</v>
      </c>
      <c r="D27" s="303"/>
      <c r="E27" s="103"/>
      <c r="F27" s="42"/>
      <c r="G27" s="112"/>
      <c r="H27" s="284" t="s">
        <v>71</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39" t="s">
        <v>18</v>
      </c>
      <c r="C28" s="188">
        <v>0</v>
      </c>
      <c r="D28" s="303"/>
      <c r="E28" s="103"/>
      <c r="F28" s="42"/>
      <c r="G28" s="112"/>
      <c r="H28" s="284" t="s">
        <v>133</v>
      </c>
      <c r="I28" s="36" t="s">
        <v>123</v>
      </c>
      <c r="J28" s="168">
        <f>PRODUCT(C25,10)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v>0</v>
      </c>
      <c r="D29" s="303"/>
      <c r="E29" s="103"/>
      <c r="F29" s="42"/>
      <c r="G29" s="112"/>
      <c r="H29" s="284" t="s">
        <v>134</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100</v>
      </c>
      <c r="C30" s="154">
        <v>0</v>
      </c>
      <c r="D30" s="303"/>
      <c r="E30" s="103"/>
      <c r="F30" s="42"/>
      <c r="G30" s="112"/>
      <c r="H30" s="288"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1" t="s">
        <v>81</v>
      </c>
      <c r="C31" s="154">
        <v>0</v>
      </c>
      <c r="D31" s="303"/>
      <c r="E31" s="103"/>
      <c r="F31" s="42"/>
      <c r="G31" s="112"/>
      <c r="H31" s="284" t="s">
        <v>22</v>
      </c>
      <c r="I31" s="171" t="s">
        <v>34</v>
      </c>
      <c r="J31" s="168">
        <f>PRODUCT(C28,5.5)</f>
        <v>0</v>
      </c>
      <c r="K31" s="111"/>
      <c r="L31" s="105"/>
      <c r="M31" s="87"/>
      <c r="N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3" t="s">
        <v>82</v>
      </c>
      <c r="C32" s="155">
        <v>0</v>
      </c>
      <c r="D32" s="303"/>
      <c r="E32" s="103"/>
      <c r="F32" s="42"/>
      <c r="G32" s="112"/>
      <c r="H32" s="284"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285" t="s">
        <v>9</v>
      </c>
      <c r="C33" s="190">
        <v>0</v>
      </c>
      <c r="D33" s="304"/>
      <c r="E33" s="103"/>
      <c r="F33" s="42"/>
      <c r="G33" s="112"/>
      <c r="H33" s="284" t="s">
        <v>72</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9">
        <v>0</v>
      </c>
      <c r="D34" s="304"/>
      <c r="E34" s="103"/>
      <c r="F34" s="42"/>
      <c r="G34" s="112"/>
      <c r="H34" s="284" t="s">
        <v>78</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2">
        <v>0</v>
      </c>
      <c r="D35" s="304"/>
      <c r="E35" s="103"/>
      <c r="F35" s="42"/>
      <c r="G35" s="112"/>
      <c r="H35" s="284" t="s">
        <v>79</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100</v>
      </c>
      <c r="C36" s="152">
        <v>0</v>
      </c>
      <c r="D36" s="304"/>
      <c r="E36" s="103"/>
      <c r="F36" s="10"/>
      <c r="G36" s="10"/>
      <c r="H36" s="288"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85</v>
      </c>
      <c r="C37" s="152">
        <v>0</v>
      </c>
      <c r="D37" s="304"/>
      <c r="E37" s="103"/>
      <c r="F37" s="42"/>
      <c r="G37" s="112"/>
      <c r="H37" s="284"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3" t="s">
        <v>82</v>
      </c>
      <c r="C38" s="153">
        <v>0</v>
      </c>
      <c r="D38" s="305"/>
      <c r="E38" s="103"/>
      <c r="F38" s="42"/>
      <c r="G38" s="112"/>
      <c r="H38" s="284"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09"/>
      <c r="B39" s="118"/>
      <c r="C39" s="118"/>
      <c r="D39" s="118"/>
      <c r="E39" s="103"/>
      <c r="F39" s="42"/>
      <c r="G39" s="112"/>
      <c r="H39" s="284" t="s">
        <v>74</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09"/>
      <c r="B40" s="289" t="s">
        <v>119</v>
      </c>
      <c r="C40" s="290"/>
      <c r="D40" s="291"/>
      <c r="E40" s="103"/>
      <c r="F40" s="42"/>
      <c r="G40" s="112"/>
      <c r="H40" s="284" t="s">
        <v>75</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7" customHeight="1" thickBot="1" x14ac:dyDescent="0.3">
      <c r="A41" s="109"/>
      <c r="B41" s="308" t="s">
        <v>120</v>
      </c>
      <c r="C41" s="259" t="s">
        <v>4</v>
      </c>
      <c r="D41" s="258"/>
      <c r="E41" s="103"/>
      <c r="F41" s="10"/>
      <c r="G41" s="10"/>
      <c r="H41" s="284" t="s">
        <v>76</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1" customHeight="1" thickBot="1" x14ac:dyDescent="0.35">
      <c r="A42" s="109"/>
      <c r="B42" s="309"/>
      <c r="C42" s="250">
        <f>SUM(C47:C49)</f>
        <v>0</v>
      </c>
      <c r="D42" s="257" t="s">
        <v>114</v>
      </c>
      <c r="E42" s="103"/>
      <c r="F42" s="42"/>
      <c r="G42" s="42"/>
      <c r="H42" s="167" t="s">
        <v>5</v>
      </c>
      <c r="I42" s="172"/>
      <c r="J42" s="170">
        <v>-250</v>
      </c>
      <c r="K42" s="111"/>
      <c r="L42" s="270">
        <v>51</v>
      </c>
      <c r="M42" s="270">
        <v>53</v>
      </c>
      <c r="N42" s="270">
        <v>54</v>
      </c>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175" t="s">
        <v>86</v>
      </c>
      <c r="I43" s="163"/>
      <c r="J43" s="164">
        <f>IF(SUM(J22,J30,J36)&gt;250,SUM(J22:J42),SUM(J23:J29,J31:J35,J37:J41))</f>
        <v>0</v>
      </c>
      <c r="K43" s="111"/>
      <c r="L43" s="271">
        <f>SUM(J23,J31,J37)</f>
        <v>0</v>
      </c>
      <c r="M43" s="271">
        <f>SUM(J24:J29,J32:J35,J38:J41)</f>
        <v>0</v>
      </c>
      <c r="N43" s="271">
        <f>SUM(J22,J30,J36,J42)</f>
        <v>-250</v>
      </c>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91"/>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87"/>
      <c r="BG46" s="87"/>
    </row>
    <row r="47" spans="1:59" s="6" customFormat="1" ht="20.25" customHeight="1" thickBot="1" x14ac:dyDescent="0.35">
      <c r="A47" s="115"/>
      <c r="B47" s="156" t="s">
        <v>110</v>
      </c>
      <c r="C47" s="243">
        <v>0</v>
      </c>
      <c r="D47" s="240"/>
      <c r="E47" s="104"/>
      <c r="F47" s="5"/>
      <c r="G47" s="5"/>
      <c r="H47" s="33" t="s">
        <v>47</v>
      </c>
      <c r="I47" s="39"/>
      <c r="J47" s="40">
        <f>IF(SUM(PRODUCT(SUM(C19,-C20,-C21,-C22,-C23),5.11),PRODUCT(SUM(C27,-C28,-C29,-C30,-C31,-C32),2.28),PRODUCT(SUM(C33,-C34,-C35,-C36,-C37,-C38),19.89),-750)&lt;0,0,SUM(PRODUCT(SUM(C19,-C20,-C21,-C22,-C23),5.11),PRODUCT(SUM(C27,-C28,-C29,-C30,-C31,-C32),2.28),PRODUCT(SUM(C33,-C34,-C35,-C36,-C37,-C38),19.89),-750))</f>
        <v>0</v>
      </c>
      <c r="K47" s="116"/>
      <c r="L47" s="193">
        <f>J47*0.9</f>
        <v>0</v>
      </c>
      <c r="M47" s="193"/>
      <c r="N47" s="193"/>
      <c r="O47" s="28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05"/>
      <c r="BG47" s="87"/>
    </row>
    <row r="48" spans="1:59" s="6" customFormat="1" ht="23.25" customHeight="1" thickBot="1" x14ac:dyDescent="0.4">
      <c r="A48" s="115"/>
      <c r="B48" s="140" t="s">
        <v>111</v>
      </c>
      <c r="C48" s="244">
        <v>0</v>
      </c>
      <c r="D48" s="239"/>
      <c r="E48" s="118"/>
      <c r="F48" s="5"/>
      <c r="G48" s="5"/>
      <c r="H48" s="85" t="s">
        <v>121</v>
      </c>
      <c r="I48" s="69"/>
      <c r="J48" s="73">
        <f>IF(L48&gt;L47,IF(L47&lt;0,0,L47),IF(L48&lt;0,0,L48))</f>
        <v>0</v>
      </c>
      <c r="K48" s="116"/>
      <c r="L48" s="193">
        <f>SUM((J11+J47)-D18)*0.9</f>
        <v>13158</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89"/>
      <c r="BG48" s="89"/>
    </row>
    <row r="49" spans="1:59" s="6" customFormat="1" ht="20.25" customHeight="1" thickBot="1" x14ac:dyDescent="0.35">
      <c r="A49" s="115"/>
      <c r="B49" s="143" t="s">
        <v>112</v>
      </c>
      <c r="C49" s="245">
        <v>0</v>
      </c>
      <c r="D49" s="241"/>
      <c r="E49" s="118"/>
      <c r="F49" s="5"/>
      <c r="G49" s="5"/>
      <c r="H49" s="103"/>
      <c r="I49" s="103"/>
      <c r="J49" s="111"/>
      <c r="K49" s="116"/>
      <c r="L49" s="194"/>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89"/>
      <c r="BG49" s="89"/>
    </row>
    <row r="50" spans="1:59" s="6" customFormat="1" ht="18.75" customHeight="1" thickBot="1" x14ac:dyDescent="0.4">
      <c r="A50" s="109"/>
      <c r="B50" s="118"/>
      <c r="C50" s="118"/>
      <c r="D50" s="118"/>
      <c r="E50" s="118"/>
      <c r="F50" s="117"/>
      <c r="G50" s="117"/>
      <c r="H50" s="236" t="s">
        <v>115</v>
      </c>
      <c r="I50" s="237"/>
      <c r="J50" s="73">
        <f>IF(SUM(C47*(669.8-61.35),C48*(654.5-61.35),C49*(721-61.35))&lt;50,0,SUM(C47*(669.8-61.35),C48*(654.5-61.35),C49*(721-61.35)))</f>
        <v>0</v>
      </c>
      <c r="K50" s="116"/>
      <c r="L50" s="194"/>
      <c r="M50" s="194"/>
      <c r="N50" s="194"/>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row>
    <row r="51" spans="1:59" s="6" customFormat="1" ht="24" customHeight="1" thickBot="1" x14ac:dyDescent="0.35">
      <c r="A51" s="115"/>
      <c r="B51" s="310" t="s">
        <v>117</v>
      </c>
      <c r="C51" s="311"/>
      <c r="D51" s="312"/>
      <c r="E51" s="104"/>
      <c r="F51" s="117"/>
      <c r="G51" s="117"/>
      <c r="H51" s="118"/>
      <c r="I51" s="118"/>
      <c r="J51" s="118"/>
      <c r="K51" s="116"/>
    </row>
    <row r="52" spans="1:59" s="6" customFormat="1" ht="18.75" customHeight="1" thickBot="1" x14ac:dyDescent="0.4">
      <c r="A52" s="115"/>
      <c r="B52" s="313"/>
      <c r="C52" s="314"/>
      <c r="D52" s="315"/>
      <c r="E52" s="104"/>
      <c r="F52" s="117"/>
      <c r="G52" s="117"/>
      <c r="H52" s="183" t="s">
        <v>31</v>
      </c>
      <c r="I52" s="144"/>
      <c r="J52" s="198">
        <f>SUM(J9,J14,J17,J18,J43,J48,J50)</f>
        <v>18038</v>
      </c>
      <c r="K52" s="116"/>
    </row>
    <row r="53" spans="1:59" s="6" customFormat="1" ht="19.5" customHeight="1" x14ac:dyDescent="0.3">
      <c r="A53" s="115"/>
      <c r="B53" s="313"/>
      <c r="C53" s="314"/>
      <c r="D53" s="315"/>
      <c r="E53" s="104"/>
      <c r="F53" s="117"/>
      <c r="G53" s="117"/>
      <c r="H53" s="319" t="s">
        <v>171</v>
      </c>
      <c r="I53" s="320"/>
      <c r="J53" s="135">
        <f>SUM(C7*20.5,C19*20.45,C24*25,C27*3.66,C33*35.04)</f>
        <v>20500</v>
      </c>
      <c r="K53" s="116"/>
    </row>
    <row r="54" spans="1:59" s="6" customFormat="1" ht="19.5" customHeight="1" thickBot="1" x14ac:dyDescent="0.35">
      <c r="A54" s="115"/>
      <c r="B54" s="313"/>
      <c r="C54" s="314"/>
      <c r="D54" s="315"/>
      <c r="E54" s="104"/>
      <c r="F54" s="117"/>
      <c r="G54" s="117"/>
      <c r="H54" s="321" t="s">
        <v>51</v>
      </c>
      <c r="I54" s="322"/>
      <c r="J54" s="91">
        <f>J53-J52+J50</f>
        <v>2462</v>
      </c>
      <c r="K54" s="116"/>
    </row>
    <row r="55" spans="1:59" s="6" customFormat="1" ht="21" customHeight="1" thickBot="1" x14ac:dyDescent="0.35">
      <c r="A55" s="115"/>
      <c r="B55" s="313"/>
      <c r="C55" s="314"/>
      <c r="D55" s="315"/>
      <c r="E55" s="104"/>
      <c r="F55" s="117"/>
      <c r="G55" s="117"/>
      <c r="H55" s="104"/>
      <c r="I55" s="104"/>
      <c r="J55" s="104"/>
      <c r="K55" s="116"/>
    </row>
    <row r="56" spans="1:59" s="6" customFormat="1" ht="24.75" customHeight="1" x14ac:dyDescent="0.3">
      <c r="A56" s="115"/>
      <c r="B56" s="313"/>
      <c r="C56" s="314"/>
      <c r="D56" s="315"/>
      <c r="E56" s="104"/>
      <c r="F56" s="104"/>
      <c r="G56" s="104"/>
      <c r="H56" s="323" t="s">
        <v>83</v>
      </c>
      <c r="I56" s="324"/>
      <c r="J56" s="325"/>
      <c r="K56" s="116"/>
    </row>
    <row r="57" spans="1:59" s="6" customFormat="1" ht="24.75" customHeight="1" x14ac:dyDescent="0.3">
      <c r="A57" s="115"/>
      <c r="B57" s="313"/>
      <c r="C57" s="314"/>
      <c r="D57" s="315"/>
      <c r="E57" s="104"/>
      <c r="F57" s="104"/>
      <c r="G57" s="104"/>
      <c r="H57" s="326"/>
      <c r="I57" s="327"/>
      <c r="J57" s="328"/>
      <c r="K57" s="116"/>
    </row>
    <row r="58" spans="1:59" s="6" customFormat="1" ht="24" customHeight="1" thickBot="1" x14ac:dyDescent="0.35">
      <c r="A58" s="115"/>
      <c r="B58" s="316"/>
      <c r="C58" s="317"/>
      <c r="D58" s="318"/>
      <c r="E58" s="104"/>
      <c r="F58" s="117"/>
      <c r="G58" s="117"/>
      <c r="H58" s="329"/>
      <c r="I58" s="330"/>
      <c r="J58" s="331"/>
      <c r="K58" s="116"/>
    </row>
    <row r="59" spans="1:59" s="6" customFormat="1" ht="16.5" customHeight="1" thickBot="1" x14ac:dyDescent="0.35">
      <c r="A59" s="115"/>
      <c r="B59" s="104"/>
      <c r="C59" s="104"/>
      <c r="D59" s="104"/>
      <c r="E59" s="104"/>
      <c r="F59" s="117"/>
      <c r="G59" s="117"/>
      <c r="H59" s="104"/>
      <c r="I59" s="104"/>
      <c r="J59" s="104"/>
      <c r="K59" s="116"/>
    </row>
    <row r="60" spans="1:59" s="6" customFormat="1" ht="183.75" customHeight="1" thickBot="1" x14ac:dyDescent="0.35">
      <c r="A60" s="115"/>
      <c r="B60" s="332" t="s">
        <v>172</v>
      </c>
      <c r="C60" s="333"/>
      <c r="D60" s="334"/>
      <c r="E60" s="104"/>
      <c r="F60" s="117"/>
      <c r="G60" s="117"/>
      <c r="H60" s="335" t="s">
        <v>178</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79"/>
      <c r="D62" s="279"/>
      <c r="E62" s="9"/>
      <c r="F62" s="7"/>
      <c r="G62" s="7"/>
      <c r="H62" s="7"/>
      <c r="I62" s="7"/>
      <c r="J62" s="7"/>
      <c r="K62" s="9"/>
    </row>
    <row r="63" spans="1:59" s="6" customFormat="1" ht="13" x14ac:dyDescent="0.3">
      <c r="A63" s="9"/>
      <c r="B63" s="279"/>
      <c r="C63" s="279"/>
      <c r="D63" s="279"/>
      <c r="E63" s="9"/>
      <c r="F63" s="7"/>
      <c r="G63" s="7"/>
      <c r="H63" s="7"/>
      <c r="I63" s="7"/>
      <c r="J63" s="7"/>
      <c r="K63" s="9"/>
    </row>
    <row r="64" spans="1:59" s="6" customFormat="1" ht="17.25" customHeight="1" x14ac:dyDescent="0.3">
      <c r="A64" s="9"/>
      <c r="B64" s="158"/>
      <c r="C64" s="279"/>
      <c r="D64" s="279"/>
      <c r="E64" s="9"/>
      <c r="F64" s="7"/>
      <c r="G64" s="7"/>
      <c r="H64" s="7"/>
      <c r="I64" s="7"/>
      <c r="J64" s="7"/>
      <c r="K64" s="9"/>
    </row>
    <row r="65" spans="1:11" s="6" customFormat="1" ht="13" x14ac:dyDescent="0.3">
      <c r="A65" s="9"/>
      <c r="B65" s="279"/>
      <c r="C65" s="279"/>
      <c r="D65" s="279"/>
      <c r="E65" s="9"/>
      <c r="F65" s="7"/>
      <c r="G65" s="7"/>
      <c r="H65" s="7"/>
      <c r="I65" s="7"/>
      <c r="J65" s="7"/>
      <c r="K65" s="9"/>
    </row>
    <row r="66" spans="1:11" s="6" customFormat="1" ht="13" x14ac:dyDescent="0.3">
      <c r="A66" s="9"/>
      <c r="B66" s="279"/>
      <c r="C66" s="279"/>
      <c r="D66" s="279"/>
      <c r="E66" s="9"/>
      <c r="F66" s="7"/>
      <c r="G66" s="7"/>
      <c r="H66" s="306"/>
      <c r="I66" s="307"/>
      <c r="J66" s="307"/>
      <c r="K66" s="9"/>
    </row>
    <row r="67" spans="1:11" s="6" customFormat="1" ht="13" x14ac:dyDescent="0.3">
      <c r="A67" s="9"/>
      <c r="B67" s="279"/>
      <c r="C67" s="279"/>
      <c r="D67" s="279"/>
      <c r="E67" s="9"/>
      <c r="F67" s="7"/>
      <c r="G67" s="7"/>
      <c r="H67" s="307"/>
      <c r="I67" s="307"/>
      <c r="J67" s="307"/>
      <c r="K67" s="9"/>
    </row>
    <row r="68" spans="1:11" s="6" customFormat="1" x14ac:dyDescent="0.25">
      <c r="A68" s="8"/>
      <c r="B68" s="279"/>
      <c r="C68" s="279"/>
      <c r="D68" s="279"/>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password="C6AA" sheet="1" formatCells="0" formatColumns="0" formatRows="0" insertColumns="0" insertRows="0" insertHyperlinks="0" deleteColumns="0" deleteRows="0" sort="0" autoFilter="0" pivotTables="0"/>
  <mergeCells count="14">
    <mergeCell ref="B60:D60"/>
    <mergeCell ref="H60:J60"/>
    <mergeCell ref="H66:J82"/>
    <mergeCell ref="B5:B6"/>
    <mergeCell ref="C5:C6"/>
    <mergeCell ref="D5:D6"/>
    <mergeCell ref="B2:J2"/>
    <mergeCell ref="D19:D38"/>
    <mergeCell ref="B40:D40"/>
    <mergeCell ref="B41:B42"/>
    <mergeCell ref="B51:D58"/>
    <mergeCell ref="H53:I53"/>
    <mergeCell ref="H54:I54"/>
    <mergeCell ref="H56:J58"/>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DCADB"/>
  </sheetPr>
  <dimension ref="A1:BG265"/>
  <sheetViews>
    <sheetView workbookViewId="0">
      <selection activeCell="C7" sqref="C7"/>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86.25" customHeight="1" thickBot="1" x14ac:dyDescent="0.3">
      <c r="A2" s="107"/>
      <c r="B2" s="292" t="s">
        <v>177</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296" t="s">
        <v>3</v>
      </c>
      <c r="C5" s="298" t="s">
        <v>4</v>
      </c>
      <c r="D5" s="300"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297"/>
      <c r="C6" s="299"/>
      <c r="D6" s="301"/>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v>0</v>
      </c>
      <c r="D7" s="21"/>
      <c r="E7" s="103"/>
      <c r="F7" s="42"/>
      <c r="G7" s="112"/>
      <c r="H7" s="82"/>
      <c r="I7" s="79"/>
      <c r="J7" s="25"/>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v>0</v>
      </c>
      <c r="D8" s="22"/>
      <c r="E8" s="103"/>
      <c r="F8" s="42"/>
      <c r="G8" s="112"/>
      <c r="H8" s="82" t="s">
        <v>58</v>
      </c>
      <c r="I8" s="36"/>
      <c r="J8" s="26"/>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v>0</v>
      </c>
      <c r="D9" s="22"/>
      <c r="E9" s="103"/>
      <c r="F9" s="42"/>
      <c r="G9" s="112"/>
      <c r="H9" s="281" t="s">
        <v>45</v>
      </c>
      <c r="I9" s="51"/>
      <c r="J9" s="73">
        <f>PRODUCT($C$10,5.13)</f>
        <v>0</v>
      </c>
      <c r="K9" s="114"/>
      <c r="L9" s="105">
        <f>IF(C13&gt;19.5,19.5,C13)</f>
        <v>18.7</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0</v>
      </c>
      <c r="D10" s="23"/>
      <c r="E10" s="103"/>
      <c r="F10" s="42"/>
      <c r="G10" s="112"/>
      <c r="H10" s="82" t="s">
        <v>59</v>
      </c>
      <c r="I10" s="79"/>
      <c r="J10" s="25"/>
      <c r="K10" s="114"/>
      <c r="L10" s="105">
        <f>IF(C16&gt;25.9,25.9,C16)</f>
        <v>24.8</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v>0</v>
      </c>
      <c r="D11" s="61">
        <f>(C11*D13)/(C13)</f>
        <v>0</v>
      </c>
      <c r="E11" s="103"/>
      <c r="F11" s="42"/>
      <c r="G11" s="112"/>
      <c r="H11" s="80" t="s">
        <v>46</v>
      </c>
      <c r="I11" s="79"/>
      <c r="J11" s="25">
        <f>PRODUCT($C$10,20.5)-J9</f>
        <v>0</v>
      </c>
      <c r="K11" s="114"/>
      <c r="L11" s="105">
        <f>IF(C17&gt;16.15,16.15,C17)</f>
        <v>15.45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280" t="s">
        <v>173</v>
      </c>
      <c r="C13" s="60">
        <v>18.7</v>
      </c>
      <c r="D13" s="63">
        <f>L9</f>
        <v>18.7</v>
      </c>
      <c r="E13" s="103"/>
      <c r="F13" s="42"/>
      <c r="G13" s="112"/>
      <c r="H13" s="30" t="s">
        <v>11</v>
      </c>
      <c r="I13" s="31"/>
      <c r="J13" s="32">
        <f>J11-D18</f>
        <v>0</v>
      </c>
      <c r="K13" s="114"/>
      <c r="L13" s="105">
        <f>J11*0.9</f>
        <v>0</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v>0</v>
      </c>
      <c r="D14" s="62">
        <f>(C14*D17)/(C17)</f>
        <v>0</v>
      </c>
      <c r="E14" s="103"/>
      <c r="F14" s="42"/>
      <c r="G14" s="112"/>
      <c r="H14" s="281" t="s">
        <v>122</v>
      </c>
      <c r="I14" s="51"/>
      <c r="J14" s="73">
        <f>IF(L15&lt;0,0,L15)</f>
        <v>0</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4">
        <v>0</v>
      </c>
      <c r="D15" s="62">
        <f>(C15*D16)/(C16)</f>
        <v>0</v>
      </c>
      <c r="E15" s="103"/>
      <c r="F15" s="42"/>
      <c r="G15" s="112"/>
      <c r="H15" s="74" t="s">
        <v>1</v>
      </c>
      <c r="I15" s="75"/>
      <c r="J15" s="34">
        <f>(C10*20.5)-J9-J14</f>
        <v>0</v>
      </c>
      <c r="K15" s="114"/>
      <c r="L15" s="105">
        <f>J13*0.9</f>
        <v>0</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280" t="s">
        <v>174</v>
      </c>
      <c r="C16" s="93">
        <v>24.8</v>
      </c>
      <c r="D16" s="63">
        <f>L10</f>
        <v>24.8</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280" t="s">
        <v>175</v>
      </c>
      <c r="C17" s="65">
        <v>15.45</v>
      </c>
      <c r="D17" s="64">
        <f>L11</f>
        <v>15.45</v>
      </c>
      <c r="E17" s="103"/>
      <c r="F17" s="42"/>
      <c r="G17" s="112"/>
      <c r="H17" s="52" t="s">
        <v>30</v>
      </c>
      <c r="I17" s="53"/>
      <c r="J17" s="73">
        <f>C8*20.5</f>
        <v>0</v>
      </c>
      <c r="K17" s="114"/>
      <c r="L17" s="105">
        <f>IF(L15&lt;L13,L15,L13)</f>
        <v>0</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285" t="s">
        <v>36</v>
      </c>
      <c r="C19" s="148">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149">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150">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100</v>
      </c>
      <c r="C22" s="150">
        <v>0</v>
      </c>
      <c r="D22" s="303"/>
      <c r="E22" s="103"/>
      <c r="F22" s="42"/>
      <c r="G22" s="112"/>
      <c r="H22" s="287"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66</v>
      </c>
      <c r="C23" s="151">
        <v>0</v>
      </c>
      <c r="D23" s="303"/>
      <c r="E23" s="103"/>
      <c r="F23" s="42"/>
      <c r="G23" s="112"/>
      <c r="H23" s="284"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285" t="s">
        <v>137</v>
      </c>
      <c r="C24" s="1">
        <v>0</v>
      </c>
      <c r="D24" s="303"/>
      <c r="E24" s="103"/>
      <c r="F24" s="42"/>
      <c r="G24" s="112"/>
      <c r="H24" s="284"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56" t="s">
        <v>125</v>
      </c>
      <c r="C25" s="243">
        <v>0</v>
      </c>
      <c r="D25" s="303"/>
      <c r="E25" s="103"/>
      <c r="F25" s="42"/>
      <c r="G25" s="112"/>
      <c r="H25" s="284" t="s">
        <v>67</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2" t="s">
        <v>82</v>
      </c>
      <c r="C26" s="260">
        <v>0</v>
      </c>
      <c r="D26" s="303"/>
      <c r="E26" s="103"/>
      <c r="F26" s="42"/>
      <c r="G26" s="112"/>
      <c r="H26" s="284" t="s">
        <v>68</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285" t="s">
        <v>8</v>
      </c>
      <c r="C27" s="2">
        <v>0</v>
      </c>
      <c r="D27" s="303"/>
      <c r="E27" s="103"/>
      <c r="F27" s="42"/>
      <c r="G27" s="112"/>
      <c r="H27" s="284" t="s">
        <v>71</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39" t="s">
        <v>18</v>
      </c>
      <c r="C28" s="188">
        <v>0</v>
      </c>
      <c r="D28" s="303"/>
      <c r="E28" s="103"/>
      <c r="F28" s="42"/>
      <c r="G28" s="112"/>
      <c r="H28" s="284" t="s">
        <v>133</v>
      </c>
      <c r="I28" s="36" t="s">
        <v>123</v>
      </c>
      <c r="J28" s="168">
        <f>PRODUCT(C25,110)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v>0</v>
      </c>
      <c r="D29" s="303"/>
      <c r="E29" s="103"/>
      <c r="F29" s="42"/>
      <c r="G29" s="112"/>
      <c r="H29" s="284" t="s">
        <v>134</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100</v>
      </c>
      <c r="C30" s="154">
        <v>0</v>
      </c>
      <c r="D30" s="303"/>
      <c r="E30" s="103"/>
      <c r="F30" s="42"/>
      <c r="G30" s="112"/>
      <c r="H30" s="288"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1" t="s">
        <v>81</v>
      </c>
      <c r="C31" s="154">
        <v>0</v>
      </c>
      <c r="D31" s="303"/>
      <c r="E31" s="103"/>
      <c r="F31" s="42"/>
      <c r="G31" s="112"/>
      <c r="H31" s="284" t="s">
        <v>22</v>
      </c>
      <c r="I31" s="171" t="s">
        <v>34</v>
      </c>
      <c r="J31" s="168">
        <f>PRODUCT(C28,5.5)</f>
        <v>0</v>
      </c>
      <c r="K31" s="111"/>
      <c r="L31" s="105"/>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3" t="s">
        <v>82</v>
      </c>
      <c r="C32" s="155">
        <v>0</v>
      </c>
      <c r="D32" s="303"/>
      <c r="E32" s="103"/>
      <c r="F32" s="42"/>
      <c r="G32" s="112"/>
      <c r="H32" s="284"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285" t="s">
        <v>9</v>
      </c>
      <c r="C33" s="190">
        <v>0</v>
      </c>
      <c r="D33" s="304"/>
      <c r="E33" s="103"/>
      <c r="F33" s="42"/>
      <c r="G33" s="112"/>
      <c r="H33" s="284" t="s">
        <v>72</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9">
        <v>0</v>
      </c>
      <c r="D34" s="304"/>
      <c r="E34" s="103"/>
      <c r="F34" s="42"/>
      <c r="G34" s="112"/>
      <c r="H34" s="284" t="s">
        <v>78</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2">
        <v>0</v>
      </c>
      <c r="D35" s="304"/>
      <c r="E35" s="103"/>
      <c r="F35" s="42"/>
      <c r="G35" s="112"/>
      <c r="H35" s="284" t="s">
        <v>79</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100</v>
      </c>
      <c r="C36" s="152">
        <v>0</v>
      </c>
      <c r="D36" s="304"/>
      <c r="E36" s="103"/>
      <c r="F36" s="10"/>
      <c r="G36" s="10"/>
      <c r="H36" s="288"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85</v>
      </c>
      <c r="C37" s="152">
        <v>0</v>
      </c>
      <c r="D37" s="304"/>
      <c r="E37" s="103"/>
      <c r="F37" s="42"/>
      <c r="G37" s="112"/>
      <c r="H37" s="284"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3" t="s">
        <v>82</v>
      </c>
      <c r="C38" s="153">
        <v>0</v>
      </c>
      <c r="D38" s="305"/>
      <c r="E38" s="103"/>
      <c r="F38" s="42"/>
      <c r="G38" s="112"/>
      <c r="H38" s="284"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18"/>
      <c r="B39" s="118"/>
      <c r="C39" s="118"/>
      <c r="D39" s="118"/>
      <c r="E39" s="103"/>
      <c r="F39" s="42"/>
      <c r="G39" s="112"/>
      <c r="H39" s="284" t="s">
        <v>74</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18"/>
      <c r="B40" s="289" t="s">
        <v>119</v>
      </c>
      <c r="C40" s="290"/>
      <c r="D40" s="291"/>
      <c r="E40" s="103"/>
      <c r="F40" s="42"/>
      <c r="G40" s="112"/>
      <c r="H40" s="284" t="s">
        <v>75</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1" customHeight="1" thickBot="1" x14ac:dyDescent="0.3">
      <c r="A41" s="118"/>
      <c r="B41" s="308" t="s">
        <v>120</v>
      </c>
      <c r="C41" s="259" t="s">
        <v>4</v>
      </c>
      <c r="D41" s="258"/>
      <c r="E41" s="103"/>
      <c r="F41" s="10"/>
      <c r="G41" s="10"/>
      <c r="H41" s="284" t="s">
        <v>76</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2.5" customHeight="1" thickBot="1" x14ac:dyDescent="0.35">
      <c r="A42" s="118"/>
      <c r="B42" s="309"/>
      <c r="C42" s="250">
        <f>SUM(C47:C49)</f>
        <v>0</v>
      </c>
      <c r="D42" s="257" t="s">
        <v>114</v>
      </c>
      <c r="E42" s="103"/>
      <c r="F42" s="42"/>
      <c r="G42" s="42"/>
      <c r="H42" s="86" t="s">
        <v>48</v>
      </c>
      <c r="I42" s="252"/>
      <c r="J42" s="253">
        <v>0</v>
      </c>
      <c r="K42" s="111"/>
      <c r="L42" s="105"/>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85" t="s">
        <v>86</v>
      </c>
      <c r="I43" s="254"/>
      <c r="J43" s="73">
        <f>IF(SUM(J22,J30,J36)&gt;0,SUM(J22:J42),SUM(J23:J29,J31:J35,J37:J41))</f>
        <v>0</v>
      </c>
      <c r="K43" s="111"/>
      <c r="L43" s="106"/>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06"/>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row>
    <row r="47" spans="1:59" s="6" customFormat="1" ht="23.25" customHeight="1" thickBot="1" x14ac:dyDescent="0.35">
      <c r="A47" s="115"/>
      <c r="B47" s="156" t="s">
        <v>110</v>
      </c>
      <c r="C47" s="243">
        <v>0</v>
      </c>
      <c r="D47" s="240"/>
      <c r="E47" s="104"/>
      <c r="F47" s="5"/>
      <c r="G47" s="5"/>
      <c r="H47" s="33" t="s">
        <v>49</v>
      </c>
      <c r="I47" s="39"/>
      <c r="J47" s="40">
        <f>SUM(PRODUCT(SUM(C19,-C20,-C21,-C22,-C23),5.11),PRODUCT(SUM(C27,-C28,-C29,-C30,-C31,-C32),2.28),PRODUCT(SUM(C33,-C34,-C35,-C36,-C37,-C38),19.89),0)</f>
        <v>0</v>
      </c>
      <c r="K47" s="116"/>
      <c r="L47" s="105">
        <f>J47*0.9</f>
        <v>0</v>
      </c>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87"/>
      <c r="AN47" s="87"/>
      <c r="AO47" s="87"/>
      <c r="AP47" s="87"/>
      <c r="AQ47" s="87"/>
      <c r="AR47" s="87"/>
      <c r="AS47" s="87"/>
      <c r="AT47" s="87"/>
      <c r="AU47" s="87"/>
      <c r="AV47" s="87"/>
      <c r="AW47" s="87"/>
      <c r="AX47" s="87"/>
      <c r="AY47" s="87"/>
      <c r="AZ47" s="87"/>
      <c r="BA47" s="87"/>
      <c r="BB47" s="87"/>
      <c r="BC47" s="87"/>
      <c r="BD47" s="87"/>
      <c r="BE47" s="87"/>
      <c r="BF47" s="87"/>
      <c r="BG47" s="87"/>
    </row>
    <row r="48" spans="1:59" s="6" customFormat="1" ht="23.25" customHeight="1" thickBot="1" x14ac:dyDescent="0.4">
      <c r="A48" s="115"/>
      <c r="B48" s="140" t="s">
        <v>111</v>
      </c>
      <c r="C48" s="244">
        <v>0</v>
      </c>
      <c r="D48" s="239"/>
      <c r="E48" s="104"/>
      <c r="F48" s="5"/>
      <c r="G48" s="5"/>
      <c r="H48" s="85" t="s">
        <v>121</v>
      </c>
      <c r="I48" s="69"/>
      <c r="J48" s="73">
        <f>IF(L48&gt;L47,IF(L47&lt;0,0,L47),IF(L48&lt;0,0,L48))</f>
        <v>0</v>
      </c>
      <c r="K48" s="116"/>
      <c r="L48" s="105">
        <f>SUM((J11+J47)-D18)*0.9</f>
        <v>0</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89"/>
      <c r="AN48" s="89"/>
      <c r="AO48" s="89"/>
      <c r="AP48" s="89"/>
      <c r="AQ48" s="89"/>
      <c r="AR48" s="89"/>
      <c r="AS48" s="89"/>
      <c r="AT48" s="89"/>
      <c r="AU48" s="89"/>
      <c r="AV48" s="89"/>
      <c r="AW48" s="89"/>
      <c r="AX48" s="89"/>
      <c r="AY48" s="89"/>
      <c r="AZ48" s="89"/>
      <c r="BA48" s="89"/>
      <c r="BB48" s="89"/>
      <c r="BC48" s="89"/>
      <c r="BD48" s="89"/>
      <c r="BE48" s="89"/>
      <c r="BF48" s="89"/>
      <c r="BG48" s="89"/>
    </row>
    <row r="49" spans="1:59" s="6" customFormat="1" ht="21" customHeight="1" thickBot="1" x14ac:dyDescent="0.35">
      <c r="A49" s="115"/>
      <c r="B49" s="143" t="s">
        <v>112</v>
      </c>
      <c r="C49" s="245">
        <v>0</v>
      </c>
      <c r="D49" s="241"/>
      <c r="E49" s="104"/>
      <c r="F49" s="5"/>
      <c r="G49" s="5"/>
      <c r="H49" s="118"/>
      <c r="I49" s="118"/>
      <c r="J49" s="118"/>
      <c r="K49" s="116"/>
      <c r="L49" s="89"/>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89"/>
      <c r="AN49" s="89"/>
      <c r="AO49" s="89"/>
      <c r="AP49" s="89"/>
      <c r="AQ49" s="89"/>
      <c r="AR49" s="89"/>
      <c r="AS49" s="89"/>
      <c r="AT49" s="89"/>
      <c r="AU49" s="89"/>
      <c r="AV49" s="89"/>
      <c r="AW49" s="89"/>
      <c r="AX49" s="89"/>
      <c r="AY49" s="89"/>
      <c r="AZ49" s="89"/>
      <c r="BA49" s="89"/>
      <c r="BB49" s="89"/>
      <c r="BC49" s="89"/>
      <c r="BD49" s="89"/>
      <c r="BE49" s="89"/>
      <c r="BF49" s="89"/>
      <c r="BG49" s="89"/>
    </row>
    <row r="50" spans="1:59" s="6" customFormat="1" ht="21.75" customHeight="1" thickBot="1" x14ac:dyDescent="0.4">
      <c r="A50" s="115"/>
      <c r="B50" s="118"/>
      <c r="C50" s="118"/>
      <c r="D50" s="118"/>
      <c r="E50" s="104"/>
      <c r="F50" s="5"/>
      <c r="G50" s="5"/>
      <c r="H50" s="236" t="s">
        <v>115</v>
      </c>
      <c r="I50" s="237"/>
      <c r="J50" s="73">
        <f>IF(SUM(C47*(669.8-61.35),C48*(654.5-61.35),C49*(721-61.35))&lt;50,0,SUM(C47*(669.8-61.35),C48*(654.5-61.35),C49*(721-61.35)))</f>
        <v>0</v>
      </c>
      <c r="K50" s="116"/>
      <c r="L50" s="84"/>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89"/>
      <c r="AN50" s="89"/>
      <c r="AO50" s="89"/>
      <c r="AP50" s="89"/>
      <c r="AQ50" s="89"/>
      <c r="AR50" s="89"/>
      <c r="AS50" s="89"/>
      <c r="AT50" s="89"/>
      <c r="AU50" s="89"/>
      <c r="AV50" s="89"/>
      <c r="AW50" s="89"/>
      <c r="AX50" s="89"/>
      <c r="AY50" s="89"/>
      <c r="AZ50" s="89"/>
      <c r="BA50" s="89"/>
      <c r="BB50" s="89"/>
      <c r="BC50" s="89"/>
      <c r="BD50" s="89"/>
      <c r="BE50" s="89"/>
      <c r="BF50" s="89"/>
      <c r="BG50" s="89"/>
    </row>
    <row r="51" spans="1:59" s="6" customFormat="1" ht="18.75" customHeight="1" thickBot="1" x14ac:dyDescent="0.35">
      <c r="A51" s="115"/>
      <c r="B51" s="338" t="s">
        <v>116</v>
      </c>
      <c r="C51" s="339"/>
      <c r="D51" s="340"/>
      <c r="E51" s="104"/>
      <c r="F51" s="117"/>
      <c r="G51" s="117"/>
      <c r="H51" s="118"/>
      <c r="I51" s="118"/>
      <c r="J51" s="118"/>
      <c r="K51" s="116"/>
      <c r="L51" s="84"/>
      <c r="M51" s="84"/>
      <c r="N51" s="84"/>
    </row>
    <row r="52" spans="1:59" s="6" customFormat="1" ht="19.5" customHeight="1" thickBot="1" x14ac:dyDescent="0.4">
      <c r="A52" s="115"/>
      <c r="B52" s="341"/>
      <c r="C52" s="342"/>
      <c r="D52" s="343"/>
      <c r="E52" s="104"/>
      <c r="F52" s="117"/>
      <c r="G52" s="117"/>
      <c r="H52" s="183" t="s">
        <v>31</v>
      </c>
      <c r="I52" s="144"/>
      <c r="J52" s="198">
        <f>SUM(J9,J14,J17,J18,J43,J48,J50)</f>
        <v>0</v>
      </c>
      <c r="K52" s="116"/>
    </row>
    <row r="53" spans="1:59" s="6" customFormat="1" ht="19.5" customHeight="1" x14ac:dyDescent="0.3">
      <c r="A53" s="115"/>
      <c r="B53" s="341"/>
      <c r="C53" s="342"/>
      <c r="D53" s="343"/>
      <c r="E53" s="104"/>
      <c r="F53" s="117"/>
      <c r="G53" s="117"/>
      <c r="H53" s="319" t="s">
        <v>171</v>
      </c>
      <c r="I53" s="320"/>
      <c r="J53" s="135">
        <f>SUM(C7*20.5,C19*20.45,C24*25,C27*3.66,C33*35.04)</f>
        <v>0</v>
      </c>
      <c r="K53" s="116"/>
    </row>
    <row r="54" spans="1:59" s="6" customFormat="1" ht="19.5" customHeight="1" thickBot="1" x14ac:dyDescent="0.35">
      <c r="A54" s="115"/>
      <c r="B54" s="341"/>
      <c r="C54" s="342"/>
      <c r="D54" s="343"/>
      <c r="E54" s="104"/>
      <c r="F54" s="117"/>
      <c r="G54" s="117"/>
      <c r="H54" s="321" t="s">
        <v>51</v>
      </c>
      <c r="I54" s="322"/>
      <c r="J54" s="91">
        <f>J53-J52+J50</f>
        <v>0</v>
      </c>
      <c r="K54" s="116"/>
    </row>
    <row r="55" spans="1:59" s="6" customFormat="1" ht="18.75" customHeight="1" thickBot="1" x14ac:dyDescent="0.35">
      <c r="A55" s="115"/>
      <c r="B55" s="341"/>
      <c r="C55" s="342"/>
      <c r="D55" s="343"/>
      <c r="E55" s="104"/>
      <c r="F55" s="117"/>
      <c r="G55" s="117"/>
      <c r="H55" s="118"/>
      <c r="I55" s="118"/>
      <c r="J55" s="157"/>
      <c r="K55" s="116"/>
    </row>
    <row r="56" spans="1:59" s="6" customFormat="1" ht="24.75" customHeight="1" x14ac:dyDescent="0.3">
      <c r="A56" s="115"/>
      <c r="B56" s="341"/>
      <c r="C56" s="342"/>
      <c r="D56" s="343"/>
      <c r="E56" s="104"/>
      <c r="F56" s="117"/>
      <c r="G56" s="117"/>
      <c r="H56" s="347" t="s">
        <v>83</v>
      </c>
      <c r="I56" s="348"/>
      <c r="J56" s="349"/>
      <c r="K56" s="116"/>
    </row>
    <row r="57" spans="1:59" s="6" customFormat="1" ht="16.5" customHeight="1" x14ac:dyDescent="0.3">
      <c r="A57" s="115"/>
      <c r="B57" s="341"/>
      <c r="C57" s="342"/>
      <c r="D57" s="343"/>
      <c r="E57" s="104"/>
      <c r="F57" s="117"/>
      <c r="G57" s="117"/>
      <c r="H57" s="350"/>
      <c r="I57" s="351"/>
      <c r="J57" s="352"/>
      <c r="K57" s="116"/>
    </row>
    <row r="58" spans="1:59" s="6" customFormat="1" ht="39" customHeight="1" thickBot="1" x14ac:dyDescent="0.35">
      <c r="A58" s="115"/>
      <c r="B58" s="344"/>
      <c r="C58" s="345"/>
      <c r="D58" s="346"/>
      <c r="E58" s="104"/>
      <c r="F58" s="117"/>
      <c r="G58" s="117"/>
      <c r="H58" s="353"/>
      <c r="I58" s="354"/>
      <c r="J58" s="355"/>
      <c r="K58" s="116"/>
    </row>
    <row r="59" spans="1:59" s="6" customFormat="1" ht="16.5" customHeight="1" thickBot="1" x14ac:dyDescent="0.35">
      <c r="A59" s="115"/>
      <c r="B59" s="104"/>
      <c r="C59" s="104"/>
      <c r="D59" s="104"/>
      <c r="E59" s="104"/>
      <c r="F59" s="117"/>
      <c r="G59" s="117"/>
      <c r="H59" s="104"/>
      <c r="I59" s="104"/>
      <c r="J59" s="104"/>
      <c r="K59" s="116"/>
    </row>
    <row r="60" spans="1:59" s="6" customFormat="1" ht="172.5" customHeight="1" thickBot="1" x14ac:dyDescent="0.35">
      <c r="A60" s="115"/>
      <c r="B60" s="332" t="s">
        <v>172</v>
      </c>
      <c r="C60" s="333"/>
      <c r="D60" s="334"/>
      <c r="E60" s="104"/>
      <c r="F60" s="117"/>
      <c r="G60" s="117"/>
      <c r="H60" s="335" t="s">
        <v>135</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82"/>
      <c r="D62" s="282"/>
      <c r="E62" s="9"/>
      <c r="F62" s="7"/>
      <c r="G62" s="7"/>
      <c r="H62" s="7"/>
      <c r="I62" s="7"/>
      <c r="J62" s="7"/>
      <c r="K62" s="9"/>
    </row>
    <row r="63" spans="1:59" s="6" customFormat="1" ht="13" x14ac:dyDescent="0.3">
      <c r="A63" s="9"/>
      <c r="B63" s="282"/>
      <c r="C63" s="282"/>
      <c r="D63" s="282"/>
      <c r="E63" s="9"/>
      <c r="F63" s="7"/>
      <c r="G63" s="7"/>
      <c r="H63" s="7"/>
      <c r="I63" s="7"/>
      <c r="J63" s="7"/>
      <c r="K63" s="9"/>
    </row>
    <row r="64" spans="1:59" s="6" customFormat="1" ht="17.25" customHeight="1" x14ac:dyDescent="0.3">
      <c r="A64" s="9"/>
      <c r="B64" s="158"/>
      <c r="C64" s="282"/>
      <c r="D64" s="282"/>
      <c r="E64" s="9"/>
      <c r="F64" s="7"/>
      <c r="G64" s="7"/>
      <c r="H64" s="7"/>
      <c r="I64" s="7"/>
      <c r="J64" s="7"/>
      <c r="K64" s="9"/>
    </row>
    <row r="65" spans="1:11" s="6" customFormat="1" ht="13" x14ac:dyDescent="0.3">
      <c r="A65" s="9"/>
      <c r="B65" s="282"/>
      <c r="C65" s="282"/>
      <c r="D65" s="282"/>
      <c r="E65" s="9"/>
      <c r="F65" s="7"/>
      <c r="G65" s="7"/>
      <c r="H65" s="7"/>
      <c r="I65" s="7"/>
      <c r="J65" s="7"/>
      <c r="K65" s="9"/>
    </row>
    <row r="66" spans="1:11" s="6" customFormat="1" ht="13" x14ac:dyDescent="0.3">
      <c r="A66" s="9"/>
      <c r="B66" s="282"/>
      <c r="C66" s="282"/>
      <c r="D66" s="282"/>
      <c r="E66" s="9"/>
      <c r="F66" s="7"/>
      <c r="G66" s="7"/>
      <c r="H66" s="306"/>
      <c r="I66" s="307"/>
      <c r="J66" s="307"/>
      <c r="K66" s="9"/>
    </row>
    <row r="67" spans="1:11" s="6" customFormat="1" ht="13" x14ac:dyDescent="0.3">
      <c r="A67" s="9"/>
      <c r="B67" s="282"/>
      <c r="C67" s="282"/>
      <c r="D67" s="282"/>
      <c r="E67" s="9"/>
      <c r="F67" s="7"/>
      <c r="G67" s="7"/>
      <c r="H67" s="307"/>
      <c r="I67" s="307"/>
      <c r="J67" s="307"/>
      <c r="K67" s="9"/>
    </row>
    <row r="68" spans="1:11" s="6" customFormat="1" x14ac:dyDescent="0.25">
      <c r="A68" s="8"/>
      <c r="B68" s="282"/>
      <c r="C68" s="282"/>
      <c r="D68" s="282"/>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password="C6AA" sheet="1" objects="1" scenarios="1"/>
  <mergeCells count="14">
    <mergeCell ref="H66:J82"/>
    <mergeCell ref="B41:B42"/>
    <mergeCell ref="B51:D58"/>
    <mergeCell ref="H53:I53"/>
    <mergeCell ref="H54:I54"/>
    <mergeCell ref="H56:J58"/>
    <mergeCell ref="B60:D60"/>
    <mergeCell ref="H60:J60"/>
    <mergeCell ref="B40:D40"/>
    <mergeCell ref="B2:J2"/>
    <mergeCell ref="B5:B6"/>
    <mergeCell ref="C5:C6"/>
    <mergeCell ref="D5:D6"/>
    <mergeCell ref="D19:D38"/>
  </mergeCells>
  <pageMargins left="0.7" right="0.7" top="0.78740157499999996" bottom="0.78740157499999996"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BG227"/>
  <sheetViews>
    <sheetView zoomScaleNormal="100" workbookViewId="0">
      <selection activeCell="H7" sqref="H7"/>
    </sheetView>
  </sheetViews>
  <sheetFormatPr baseColWidth="10" defaultRowHeight="12.5" x14ac:dyDescent="0.25"/>
  <cols>
    <col min="1" max="1" width="2.1796875" style="8" customWidth="1"/>
    <col min="2" max="2" width="76" customWidth="1"/>
    <col min="3" max="4" width="15.81640625" customWidth="1"/>
    <col min="5" max="5" width="2.81640625" style="8" customWidth="1"/>
    <col min="6" max="6" width="11.453125" hidden="1" customWidth="1"/>
    <col min="7" max="7" width="0.26953125" customWidth="1"/>
    <col min="8" max="8" width="87.26953125" customWidth="1"/>
    <col min="9" max="10" width="17.5429687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4.5" customHeight="1" thickBot="1" x14ac:dyDescent="0.3">
      <c r="A2" s="107"/>
      <c r="B2" s="358" t="s">
        <v>202</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23.25" customHeight="1" x14ac:dyDescent="0.4">
      <c r="A3" s="109"/>
      <c r="B3" s="267" t="s">
        <v>203</v>
      </c>
      <c r="C3" s="359"/>
      <c r="D3" s="360"/>
      <c r="E3" s="103"/>
      <c r="F3" s="42"/>
      <c r="G3" s="110"/>
      <c r="H3" s="363" t="s">
        <v>204</v>
      </c>
      <c r="I3" s="364"/>
      <c r="J3" s="360"/>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18.5" thickBot="1" x14ac:dyDescent="0.45">
      <c r="A4" s="109"/>
      <c r="B4" s="266"/>
      <c r="C4" s="361"/>
      <c r="D4" s="362"/>
      <c r="E4" s="103"/>
      <c r="F4" s="42"/>
      <c r="G4" s="110"/>
      <c r="H4" s="365"/>
      <c r="I4" s="366"/>
      <c r="J4" s="367"/>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21" customHeight="1" thickBot="1" x14ac:dyDescent="0.4">
      <c r="A5" s="109"/>
      <c r="B5" s="267" t="s">
        <v>154</v>
      </c>
      <c r="C5" s="272">
        <v>2017</v>
      </c>
      <c r="D5" s="272">
        <v>2018</v>
      </c>
      <c r="E5" s="103"/>
      <c r="F5" s="42"/>
      <c r="G5" s="112"/>
      <c r="H5" s="267" t="s">
        <v>154</v>
      </c>
      <c r="I5" s="272">
        <v>2017</v>
      </c>
      <c r="J5" s="272">
        <v>2018</v>
      </c>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3.25" customHeight="1" thickBot="1" x14ac:dyDescent="0.35">
      <c r="A6" s="109"/>
      <c r="B6" s="273" t="s">
        <v>155</v>
      </c>
      <c r="C6" s="274">
        <f>'Ökosteuer 2017'!J9</f>
        <v>4880</v>
      </c>
      <c r="D6" s="275">
        <f>'Vergleichsrechner 2018'!$J$9</f>
        <v>4880</v>
      </c>
      <c r="E6" s="103"/>
      <c r="F6" s="42"/>
      <c r="G6" s="112"/>
      <c r="H6" s="273" t="s">
        <v>155</v>
      </c>
      <c r="I6" s="275">
        <f>'Vergleichsrechner 2017'!$J$9</f>
        <v>1427.51</v>
      </c>
      <c r="J6" s="274">
        <f>'Ökosteuer 2018'!J9</f>
        <v>1427.51</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20.25" customHeight="1" thickBot="1" x14ac:dyDescent="0.35">
      <c r="A7" s="109"/>
      <c r="B7" s="273" t="s">
        <v>156</v>
      </c>
      <c r="C7" s="274">
        <f>'Ökosteuer 2017'!$J$14</f>
        <v>13158</v>
      </c>
      <c r="D7" s="275">
        <f>'Vergleichsrechner 2018'!$J$14</f>
        <v>13158</v>
      </c>
      <c r="E7" s="103"/>
      <c r="F7" s="42"/>
      <c r="G7" s="113"/>
      <c r="H7" s="273" t="s">
        <v>156</v>
      </c>
      <c r="I7" s="275">
        <f>'Vergleichsrechner 2017'!$J$14</f>
        <v>3848.3910000000001</v>
      </c>
      <c r="J7" s="274">
        <f>'Ökosteuer 2018'!$J$14</f>
        <v>3848.3910000000001</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20.25" customHeight="1" thickBot="1" x14ac:dyDescent="0.35">
      <c r="A8" s="109"/>
      <c r="B8" s="273" t="s">
        <v>157</v>
      </c>
      <c r="C8" s="274">
        <f>'Ökosteuer 2017'!$J$17</f>
        <v>0</v>
      </c>
      <c r="D8" s="275">
        <f>'Vergleichsrechner 2018'!$J$17</f>
        <v>0</v>
      </c>
      <c r="E8" s="103"/>
      <c r="F8" s="42"/>
      <c r="G8" s="113"/>
      <c r="H8" s="273" t="s">
        <v>157</v>
      </c>
      <c r="I8" s="275">
        <f>'Vergleichsrechner 2017'!$J$17</f>
        <v>0</v>
      </c>
      <c r="J8" s="274">
        <f>'Ökosteuer 2018'!$J$17</f>
        <v>0</v>
      </c>
      <c r="K8" s="111"/>
      <c r="L8" s="105"/>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20.25" customHeight="1" thickBot="1" x14ac:dyDescent="0.35">
      <c r="A9" s="109"/>
      <c r="B9" s="273" t="s">
        <v>158</v>
      </c>
      <c r="C9" s="274">
        <f>'Ökosteuer 2017'!$J$18</f>
        <v>0</v>
      </c>
      <c r="D9" s="275">
        <f>'Vergleichsrechner 2018'!$J$18</f>
        <v>0</v>
      </c>
      <c r="E9" s="103"/>
      <c r="F9" s="42"/>
      <c r="G9" s="113"/>
      <c r="H9" s="273" t="s">
        <v>158</v>
      </c>
      <c r="I9" s="275">
        <f>'Vergleichsrechner 2017'!$J$18</f>
        <v>0</v>
      </c>
      <c r="J9" s="274">
        <f>'Ökosteuer 2018'!$J$18</f>
        <v>0</v>
      </c>
      <c r="K9" s="111"/>
      <c r="L9" s="105"/>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4">
      <c r="A10" s="109"/>
      <c r="B10" s="368"/>
      <c r="C10" s="364"/>
      <c r="D10" s="364"/>
      <c r="E10" s="103"/>
      <c r="F10" s="42"/>
      <c r="G10" s="112"/>
      <c r="H10" s="368"/>
      <c r="I10" s="364"/>
      <c r="J10" s="360"/>
      <c r="K10" s="111"/>
      <c r="L10" s="105"/>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4">
      <c r="A11" s="109"/>
      <c r="B11" s="267" t="s">
        <v>165</v>
      </c>
      <c r="C11" s="272">
        <v>2017</v>
      </c>
      <c r="D11" s="272">
        <v>2018</v>
      </c>
      <c r="E11" s="103"/>
      <c r="F11" s="42"/>
      <c r="G11" s="112"/>
      <c r="H11" s="267" t="s">
        <v>165</v>
      </c>
      <c r="I11" s="272">
        <v>2017</v>
      </c>
      <c r="J11" s="272">
        <v>2018</v>
      </c>
      <c r="K11" s="111"/>
      <c r="L11" s="105" t="s">
        <v>15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22.5" customHeight="1" thickBot="1" x14ac:dyDescent="0.35">
      <c r="A12" s="109"/>
      <c r="B12" s="273" t="s">
        <v>159</v>
      </c>
      <c r="C12" s="274">
        <f>IF('Ökosteuer 2017'!$N$43&lt;0,0,'Ökosteuer 2017'!$N$43)</f>
        <v>0</v>
      </c>
      <c r="D12" s="275">
        <f>IF('Vergleichsrechner 2018'!$N$43&lt;0,0,'Vergleichsrechner 2018'!$N$43)</f>
        <v>0</v>
      </c>
      <c r="E12" s="103"/>
      <c r="F12" s="42"/>
      <c r="G12" s="112"/>
      <c r="H12" s="273" t="s">
        <v>159</v>
      </c>
      <c r="I12" s="275">
        <f>IF('Vergleichsrechner 2017'!$N$43&lt;0,0,'Vergleichsrechner 2017'!$N$43)</f>
        <v>0</v>
      </c>
      <c r="J12" s="274">
        <f>IF('Ökosteuer 2018'!$N$43&lt;0,0,'Ökosteuer 2018'!$N$43)</f>
        <v>0</v>
      </c>
      <c r="K12" s="111"/>
      <c r="L12" s="105"/>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20.25" customHeight="1" thickBot="1" x14ac:dyDescent="0.35">
      <c r="A13" s="109"/>
      <c r="B13" s="273" t="s">
        <v>160</v>
      </c>
      <c r="C13" s="274">
        <f>'Ökosteuer 2017'!$J$48</f>
        <v>0</v>
      </c>
      <c r="D13" s="275">
        <f>'Vergleichsrechner 2018'!$J$48</f>
        <v>0</v>
      </c>
      <c r="E13" s="103"/>
      <c r="F13" s="42"/>
      <c r="G13" s="113"/>
      <c r="H13" s="273" t="s">
        <v>160</v>
      </c>
      <c r="I13" s="275">
        <f>'Vergleichsrechner 2017'!$J$48</f>
        <v>0</v>
      </c>
      <c r="J13" s="274">
        <f>'Ökosteuer 2018'!$J$48</f>
        <v>0</v>
      </c>
      <c r="K13" s="111"/>
      <c r="L13" s="105"/>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20.25" customHeight="1" thickBot="1" x14ac:dyDescent="0.35">
      <c r="A14" s="109"/>
      <c r="B14" s="273" t="s">
        <v>201</v>
      </c>
      <c r="C14" s="274">
        <f>'Ökosteuer 2017'!$M$43</f>
        <v>0</v>
      </c>
      <c r="D14" s="275">
        <f>'Vergleichsrechner 2018'!$M$43</f>
        <v>0</v>
      </c>
      <c r="E14" s="103"/>
      <c r="F14" s="42"/>
      <c r="G14" s="113"/>
      <c r="H14" s="273" t="s">
        <v>201</v>
      </c>
      <c r="I14" s="275">
        <f>'Vergleichsrechner 2017'!$M$43</f>
        <v>0</v>
      </c>
      <c r="J14" s="274">
        <f>'Ökosteuer 2018'!$M$43</f>
        <v>0</v>
      </c>
      <c r="K14" s="111"/>
      <c r="L14" s="105"/>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20.25" customHeight="1" thickBot="1" x14ac:dyDescent="0.35">
      <c r="A15" s="109"/>
      <c r="B15" s="273" t="s">
        <v>200</v>
      </c>
      <c r="C15" s="274">
        <f>'Ökosteuer 2017'!$L$43</f>
        <v>0</v>
      </c>
      <c r="D15" s="275">
        <f>'Vergleichsrechner 2018'!$L$43</f>
        <v>0</v>
      </c>
      <c r="E15" s="103"/>
      <c r="F15" s="42"/>
      <c r="G15" s="113"/>
      <c r="H15" s="273" t="s">
        <v>200</v>
      </c>
      <c r="I15" s="275">
        <f>'Vergleichsrechner 2017'!$L$43</f>
        <v>0</v>
      </c>
      <c r="J15" s="274">
        <f>'Ökosteuer 2018'!$L$43</f>
        <v>0</v>
      </c>
      <c r="K15" s="111"/>
      <c r="L15" s="105"/>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5">
      <c r="A16" s="109"/>
      <c r="B16" s="273" t="s">
        <v>163</v>
      </c>
      <c r="C16" s="274">
        <f>'Ökosteuer 2017'!$J$50</f>
        <v>0</v>
      </c>
      <c r="D16" s="275">
        <f>'Vergleichsrechner 2018'!$J$50</f>
        <v>0</v>
      </c>
      <c r="E16" s="103"/>
      <c r="F16" s="42"/>
      <c r="G16" s="112"/>
      <c r="H16" s="273" t="s">
        <v>163</v>
      </c>
      <c r="I16" s="275">
        <f>'Vergleichsrechner 2017'!$J$50</f>
        <v>0</v>
      </c>
      <c r="J16" s="274">
        <f>'Ökosteuer 2018'!$J$50</f>
        <v>0</v>
      </c>
      <c r="K16" s="114"/>
      <c r="L16" s="105" t="e">
        <f>IF(#REF!&gt;19.5,19.5,#REF!)</f>
        <v>#REF!</v>
      </c>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s="6" customFormat="1" ht="16.5" customHeight="1" thickBot="1" x14ac:dyDescent="0.35">
      <c r="A17" s="115"/>
      <c r="B17" s="104"/>
      <c r="C17" s="104"/>
      <c r="D17" s="104"/>
      <c r="E17" s="104"/>
      <c r="F17" s="117"/>
      <c r="G17" s="117"/>
      <c r="H17" s="104"/>
      <c r="I17" s="104"/>
      <c r="J17" s="104"/>
      <c r="K17" s="116"/>
    </row>
    <row r="18" spans="1:59" ht="19.5" customHeight="1" thickBot="1" x14ac:dyDescent="0.4">
      <c r="A18" s="109"/>
      <c r="B18" s="278" t="s">
        <v>166</v>
      </c>
      <c r="C18" s="277">
        <f>SUM(C12:C16,C6:C9)</f>
        <v>18038</v>
      </c>
      <c r="D18" s="276">
        <f>SUM(D6:D9,D12:D16)</f>
        <v>18038</v>
      </c>
      <c r="E18" s="103"/>
      <c r="F18" s="42"/>
      <c r="G18" s="112"/>
      <c r="H18" s="278" t="s">
        <v>166</v>
      </c>
      <c r="I18" s="276">
        <f>SUM(I6:I9,I12:I16)</f>
        <v>5275.9009999999998</v>
      </c>
      <c r="J18" s="277">
        <f>SUM(J6:J9,J12:J16)</f>
        <v>5275.9009999999998</v>
      </c>
      <c r="K18" s="114"/>
      <c r="L18" s="105" t="e">
        <f>IF(#REF!&gt;19.5,19.5,#REF!)</f>
        <v>#REF!</v>
      </c>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s="6" customFormat="1" ht="16.5" customHeight="1" thickBot="1" x14ac:dyDescent="0.35">
      <c r="A19" s="115"/>
      <c r="B19" s="104"/>
      <c r="C19" s="104"/>
      <c r="D19" s="104"/>
      <c r="E19" s="104"/>
      <c r="F19" s="117"/>
      <c r="G19" s="117"/>
      <c r="H19" s="104"/>
      <c r="I19" s="104"/>
      <c r="J19" s="104"/>
      <c r="K19" s="116"/>
    </row>
    <row r="20" spans="1:59" ht="19.5" customHeight="1" thickBot="1" x14ac:dyDescent="0.4">
      <c r="A20" s="109"/>
      <c r="B20" s="356" t="s">
        <v>205</v>
      </c>
      <c r="C20" s="357"/>
      <c r="D20" s="276">
        <f>SUM(D18-C18)</f>
        <v>0</v>
      </c>
      <c r="E20" s="103"/>
      <c r="F20" s="42"/>
      <c r="G20" s="112"/>
      <c r="H20" s="356" t="s">
        <v>205</v>
      </c>
      <c r="I20" s="357"/>
      <c r="J20" s="276">
        <f>SUM(J18-I18)</f>
        <v>0</v>
      </c>
      <c r="K20" s="114"/>
      <c r="L20" s="105" t="e">
        <f>IF(#REF!&gt;19.5,19.5,#REF!)</f>
        <v>#REF!</v>
      </c>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s="6" customFormat="1" ht="16.5" customHeight="1" thickBot="1" x14ac:dyDescent="0.35">
      <c r="A21" s="115"/>
      <c r="B21" s="104"/>
      <c r="C21" s="104"/>
      <c r="D21" s="104"/>
      <c r="E21" s="104"/>
      <c r="F21" s="117"/>
      <c r="G21" s="117"/>
      <c r="H21" s="104"/>
      <c r="I21" s="104"/>
      <c r="J21" s="104"/>
      <c r="K21" s="116"/>
    </row>
    <row r="22" spans="1:59" s="6" customFormat="1" ht="103.5" customHeight="1" thickBot="1" x14ac:dyDescent="0.35">
      <c r="A22" s="115"/>
      <c r="B22" s="332" t="s">
        <v>199</v>
      </c>
      <c r="C22" s="334"/>
      <c r="D22" s="104"/>
      <c r="E22" s="104"/>
      <c r="F22" s="104"/>
      <c r="G22" s="104"/>
      <c r="H22" s="104"/>
      <c r="I22" s="104"/>
      <c r="J22" s="104"/>
      <c r="K22" s="116"/>
    </row>
    <row r="23" spans="1:59" s="8" customFormat="1" ht="13.5" thickBot="1" x14ac:dyDescent="0.35">
      <c r="A23" s="119"/>
      <c r="B23" s="121"/>
      <c r="C23" s="121"/>
      <c r="D23" s="121"/>
      <c r="E23" s="121"/>
      <c r="F23" s="132"/>
      <c r="G23" s="132"/>
      <c r="H23" s="120"/>
      <c r="I23" s="120"/>
      <c r="J23" s="120"/>
      <c r="K23" s="122"/>
    </row>
    <row r="24" spans="1:59" s="6" customFormat="1" ht="6.75" customHeight="1" x14ac:dyDescent="0.3">
      <c r="A24" s="9"/>
      <c r="B24" s="158"/>
      <c r="C24" s="279"/>
      <c r="D24" s="279"/>
      <c r="E24" s="9"/>
      <c r="F24" s="7"/>
      <c r="G24" s="7"/>
      <c r="H24" s="7"/>
      <c r="I24" s="7"/>
      <c r="J24" s="7"/>
      <c r="K24" s="9"/>
    </row>
    <row r="25" spans="1:59" s="6" customFormat="1" ht="13" x14ac:dyDescent="0.3">
      <c r="A25" s="9"/>
      <c r="B25" s="279"/>
      <c r="C25" s="279"/>
      <c r="D25" s="279"/>
      <c r="E25" s="9"/>
      <c r="F25" s="7"/>
      <c r="G25" s="7"/>
      <c r="H25" s="7"/>
      <c r="I25" s="7"/>
      <c r="J25" s="7"/>
      <c r="K25" s="9"/>
    </row>
    <row r="26" spans="1:59" s="6" customFormat="1" ht="17.25" customHeight="1" x14ac:dyDescent="0.3">
      <c r="A26" s="9"/>
      <c r="B26" s="158"/>
      <c r="C26" s="279"/>
      <c r="D26" s="279"/>
      <c r="E26" s="9"/>
      <c r="F26" s="7"/>
      <c r="G26" s="7"/>
      <c r="H26" s="7"/>
      <c r="I26" s="7"/>
      <c r="J26" s="7"/>
      <c r="K26" s="9"/>
    </row>
    <row r="27" spans="1:59" s="6" customFormat="1" ht="13" x14ac:dyDescent="0.3">
      <c r="A27" s="9"/>
      <c r="B27" s="279"/>
      <c r="C27" s="279"/>
      <c r="D27" s="279"/>
      <c r="E27" s="9"/>
      <c r="F27" s="7"/>
      <c r="G27" s="7"/>
      <c r="H27" s="7"/>
      <c r="I27" s="7"/>
      <c r="J27" s="7"/>
      <c r="K27" s="9"/>
    </row>
    <row r="28" spans="1:59" s="6" customFormat="1" ht="13" x14ac:dyDescent="0.3">
      <c r="A28" s="9"/>
      <c r="B28" s="279"/>
      <c r="C28" s="279"/>
      <c r="D28" s="279"/>
      <c r="E28" s="9"/>
      <c r="F28" s="7"/>
      <c r="G28" s="7"/>
      <c r="H28" s="306"/>
      <c r="I28" s="307"/>
      <c r="J28" s="307"/>
      <c r="K28" s="9"/>
    </row>
    <row r="29" spans="1:59" s="6" customFormat="1" ht="13" x14ac:dyDescent="0.3">
      <c r="A29" s="9"/>
      <c r="B29" s="279"/>
      <c r="C29" s="279"/>
      <c r="D29" s="279"/>
      <c r="E29" s="9"/>
      <c r="F29" s="7"/>
      <c r="G29" s="7"/>
      <c r="H29" s="307"/>
      <c r="I29" s="307"/>
      <c r="J29" s="307"/>
      <c r="K29" s="9"/>
    </row>
    <row r="30" spans="1:59" s="6" customFormat="1" x14ac:dyDescent="0.25">
      <c r="A30" s="8"/>
      <c r="B30" s="279"/>
      <c r="C30" s="279"/>
      <c r="D30" s="279"/>
      <c r="E30" s="8"/>
      <c r="H30" s="307"/>
      <c r="I30" s="307"/>
      <c r="J30" s="307"/>
    </row>
    <row r="31" spans="1:59" s="6" customFormat="1" x14ac:dyDescent="0.25">
      <c r="H31" s="307"/>
      <c r="I31" s="307"/>
      <c r="J31" s="307"/>
    </row>
    <row r="32" spans="1:59" s="6" customFormat="1" x14ac:dyDescent="0.25">
      <c r="H32" s="307"/>
      <c r="I32" s="307"/>
      <c r="J32" s="307"/>
    </row>
    <row r="33" spans="8:10" s="6" customFormat="1" x14ac:dyDescent="0.25">
      <c r="H33" s="307"/>
      <c r="I33" s="307"/>
      <c r="J33" s="307"/>
    </row>
    <row r="34" spans="8:10" s="6" customFormat="1" x14ac:dyDescent="0.25">
      <c r="H34" s="307"/>
      <c r="I34" s="307"/>
      <c r="J34" s="307"/>
    </row>
    <row r="35" spans="8:10" s="6" customFormat="1" x14ac:dyDescent="0.25">
      <c r="H35" s="307"/>
      <c r="I35" s="307"/>
      <c r="J35" s="307"/>
    </row>
    <row r="36" spans="8:10" s="6" customFormat="1" x14ac:dyDescent="0.25">
      <c r="H36" s="307"/>
      <c r="I36" s="307"/>
      <c r="J36" s="307"/>
    </row>
    <row r="37" spans="8:10" s="6" customFormat="1" x14ac:dyDescent="0.25">
      <c r="H37" s="307"/>
      <c r="I37" s="307"/>
      <c r="J37" s="307"/>
    </row>
    <row r="38" spans="8:10" s="6" customFormat="1" x14ac:dyDescent="0.25">
      <c r="H38" s="307"/>
      <c r="I38" s="307"/>
      <c r="J38" s="307"/>
    </row>
    <row r="39" spans="8:10" s="6" customFormat="1" x14ac:dyDescent="0.25">
      <c r="H39" s="307"/>
      <c r="I39" s="307"/>
      <c r="J39" s="307"/>
    </row>
    <row r="40" spans="8:10" s="6" customFormat="1" x14ac:dyDescent="0.25">
      <c r="H40" s="307"/>
      <c r="I40" s="307"/>
      <c r="J40" s="307"/>
    </row>
    <row r="41" spans="8:10" s="6" customFormat="1" x14ac:dyDescent="0.25">
      <c r="H41" s="307"/>
      <c r="I41" s="307"/>
      <c r="J41" s="307"/>
    </row>
    <row r="42" spans="8:10" s="6" customFormat="1" x14ac:dyDescent="0.25">
      <c r="H42" s="307"/>
      <c r="I42" s="307"/>
      <c r="J42" s="307"/>
    </row>
    <row r="43" spans="8:10" s="6" customFormat="1" x14ac:dyDescent="0.25">
      <c r="H43" s="307"/>
      <c r="I43" s="307"/>
      <c r="J43" s="307"/>
    </row>
    <row r="44" spans="8:10" s="6" customFormat="1" x14ac:dyDescent="0.25">
      <c r="H44" s="307"/>
      <c r="I44" s="307"/>
      <c r="J44" s="307"/>
    </row>
    <row r="45" spans="8:10" s="6" customFormat="1" x14ac:dyDescent="0.25"/>
    <row r="46" spans="8:10" s="6" customFormat="1" x14ac:dyDescent="0.25"/>
    <row r="47" spans="8:10" s="6" customFormat="1" x14ac:dyDescent="0.25"/>
    <row r="48" spans="8:10"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sheetData>
  <sheetProtection password="C6AA" sheet="1" formatCells="0" formatColumns="0" formatRows="0" insertColumns="0" insertRows="0" insertHyperlinks="0" deleteColumns="0" deleteRows="0" sort="0" autoFilter="0" pivotTables="0"/>
  <mergeCells count="10">
    <mergeCell ref="B20:C20"/>
    <mergeCell ref="H20:I20"/>
    <mergeCell ref="B22:C22"/>
    <mergeCell ref="H28:J44"/>
    <mergeCell ref="B2:J2"/>
    <mergeCell ref="C3:D4"/>
    <mergeCell ref="H3:J3"/>
    <mergeCell ref="H4:J4"/>
    <mergeCell ref="B10:D10"/>
    <mergeCell ref="H10:J10"/>
  </mergeCells>
  <pageMargins left="0.43307086614173229" right="0.43307086614173229" top="0.98425196850393704" bottom="0.98425196850393704" header="0.51181102362204722" footer="0.51181102362204722"/>
  <pageSetup paperSize="9"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BG265"/>
  <sheetViews>
    <sheetView zoomScaleNormal="100" workbookViewId="0">
      <selection activeCell="C13" sqref="C13"/>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3.75" customHeight="1" thickBot="1" x14ac:dyDescent="0.3">
      <c r="A2" s="107"/>
      <c r="B2" s="292" t="s">
        <v>176</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296" t="s">
        <v>3</v>
      </c>
      <c r="C5" s="298" t="s">
        <v>4</v>
      </c>
      <c r="D5" s="300"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297"/>
      <c r="C6" s="299"/>
      <c r="D6" s="301"/>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f>'Ökosteuer 2018'!C7</f>
        <v>327</v>
      </c>
      <c r="D7" s="21"/>
      <c r="E7" s="103"/>
      <c r="F7" s="42"/>
      <c r="G7" s="112"/>
      <c r="H7" s="80" t="s">
        <v>43</v>
      </c>
      <c r="I7" s="79" t="s">
        <v>52</v>
      </c>
      <c r="J7" s="25">
        <f>PRODUCT($C$10,5.13)</f>
        <v>1677.51</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f>'Ökosteuer 2018'!C8</f>
        <v>0</v>
      </c>
      <c r="D8" s="22"/>
      <c r="E8" s="103"/>
      <c r="F8" s="42"/>
      <c r="G8" s="112"/>
      <c r="H8" s="82" t="s">
        <v>44</v>
      </c>
      <c r="I8" s="36" t="s">
        <v>53</v>
      </c>
      <c r="J8" s="26">
        <v>250</v>
      </c>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f>'Ökosteuer 2018'!C9</f>
        <v>0</v>
      </c>
      <c r="D9" s="22"/>
      <c r="E9" s="103"/>
      <c r="F9" s="42"/>
      <c r="G9" s="112"/>
      <c r="H9" s="281" t="s">
        <v>45</v>
      </c>
      <c r="I9" s="51"/>
      <c r="J9" s="73">
        <f>IF(J7&lt;250.01,0,SUM(J7,-J8))</f>
        <v>1427.51</v>
      </c>
      <c r="K9" s="114"/>
      <c r="L9" s="105">
        <f>IF(C13&gt;19.5,19.5,C13)</f>
        <v>18.7</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327</v>
      </c>
      <c r="D10" s="23"/>
      <c r="E10" s="103"/>
      <c r="F10" s="42"/>
      <c r="G10" s="112"/>
      <c r="H10" s="80" t="s">
        <v>46</v>
      </c>
      <c r="I10" s="79"/>
      <c r="J10" s="25">
        <f>IF($C$10&lt;48.732943,PRODUCT($C$10,20.5),(PRODUCT($C$10,20.5)-J9))</f>
        <v>5275.99</v>
      </c>
      <c r="K10" s="114"/>
      <c r="L10" s="105">
        <f>IF(C16&gt;25.9,25.9,C16)</f>
        <v>24.8</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f>'Ökosteuer 2018'!C11</f>
        <v>0</v>
      </c>
      <c r="D11" s="61">
        <f>(C11*D13)/(C13)</f>
        <v>0</v>
      </c>
      <c r="E11" s="103"/>
      <c r="F11" s="42"/>
      <c r="G11" s="112"/>
      <c r="H11" s="27" t="s">
        <v>60</v>
      </c>
      <c r="I11" s="28"/>
      <c r="J11" s="29">
        <f>IF(J10&lt;1000,0,SUM(J10,-1000))</f>
        <v>4275.99</v>
      </c>
      <c r="K11" s="114"/>
      <c r="L11" s="105">
        <f>IF(C17&gt;16.15,16.15,C17)</f>
        <v>15.45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f>'Ökosteuer 2018'!C12</f>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280" t="s">
        <v>173</v>
      </c>
      <c r="C13" s="60">
        <v>18.7</v>
      </c>
      <c r="D13" s="63">
        <f>L9</f>
        <v>18.7</v>
      </c>
      <c r="E13" s="103"/>
      <c r="F13" s="42"/>
      <c r="G13" s="112"/>
      <c r="H13" s="30" t="s">
        <v>11</v>
      </c>
      <c r="I13" s="31"/>
      <c r="J13" s="32">
        <f>J11-D18</f>
        <v>4275.99</v>
      </c>
      <c r="K13" s="114"/>
      <c r="L13" s="105">
        <f>J11*0.9</f>
        <v>3848.3910000000001</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f>'Ökosteuer 2018'!C14</f>
        <v>0</v>
      </c>
      <c r="D14" s="62">
        <f>(C14*D17)/(C17)</f>
        <v>0</v>
      </c>
      <c r="E14" s="103"/>
      <c r="F14" s="42"/>
      <c r="G14" s="112"/>
      <c r="H14" s="50" t="s">
        <v>122</v>
      </c>
      <c r="I14" s="51"/>
      <c r="J14" s="73">
        <f>IF(L15&lt;0,0,L15)</f>
        <v>3848.3910000000001</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3">
        <f>'Ökosteuer 2018'!C15</f>
        <v>0</v>
      </c>
      <c r="D15" s="62">
        <f>(C15*D16)/(C16)</f>
        <v>0</v>
      </c>
      <c r="E15" s="103"/>
      <c r="F15" s="42"/>
      <c r="G15" s="112"/>
      <c r="H15" s="74" t="s">
        <v>1</v>
      </c>
      <c r="I15" s="75"/>
      <c r="J15" s="34">
        <f>(C10*20.5)-J9-J14</f>
        <v>1427.5989999999997</v>
      </c>
      <c r="K15" s="114"/>
      <c r="L15" s="105">
        <f>J13*0.9</f>
        <v>3848.3910000000001</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280" t="s">
        <v>174</v>
      </c>
      <c r="C16" s="93">
        <v>24.8</v>
      </c>
      <c r="D16" s="63">
        <f>L10</f>
        <v>24.8</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280" t="s">
        <v>175</v>
      </c>
      <c r="C17" s="65">
        <v>15.45</v>
      </c>
      <c r="D17" s="64">
        <f>L11</f>
        <v>15.45</v>
      </c>
      <c r="E17" s="103"/>
      <c r="F17" s="42"/>
      <c r="G17" s="112"/>
      <c r="H17" s="52" t="s">
        <v>30</v>
      </c>
      <c r="I17" s="53"/>
      <c r="J17" s="73">
        <f>C8*20.5</f>
        <v>0</v>
      </c>
      <c r="K17" s="114"/>
      <c r="L17" s="105">
        <f>IF(L15&lt;L13,L15,L13)</f>
        <v>3848.3910000000001</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138" t="s">
        <v>36</v>
      </c>
      <c r="C19" s="2">
        <f>'Ökosteuer 2018'!C19</f>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286">
        <f>'Ökosteuer 2018'!C20</f>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244">
        <f>'Ökosteuer 2018'!C21</f>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100</v>
      </c>
      <c r="C22" s="246">
        <f>'Ökosteuer 2018'!C22</f>
        <v>0</v>
      </c>
      <c r="D22" s="303"/>
      <c r="E22" s="103"/>
      <c r="F22" s="42"/>
      <c r="G22" s="112"/>
      <c r="H22" s="165"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66</v>
      </c>
      <c r="C23" s="246">
        <f>'Ökosteuer 2018'!C23</f>
        <v>0</v>
      </c>
      <c r="D23" s="303"/>
      <c r="E23" s="103"/>
      <c r="F23" s="42"/>
      <c r="G23" s="112"/>
      <c r="H23" s="82"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138" t="s">
        <v>137</v>
      </c>
      <c r="C24" s="176">
        <f>'Ökosteuer 2018'!C24</f>
        <v>0</v>
      </c>
      <c r="D24" s="303"/>
      <c r="E24" s="103"/>
      <c r="F24" s="42"/>
      <c r="G24" s="112"/>
      <c r="H24" s="82"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56" t="s">
        <v>125</v>
      </c>
      <c r="C25" s="243">
        <f>'Ökosteuer 2018'!C25</f>
        <v>0</v>
      </c>
      <c r="D25" s="303"/>
      <c r="E25" s="103"/>
      <c r="F25" s="42"/>
      <c r="G25" s="112"/>
      <c r="H25" s="82" t="s">
        <v>67</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2" t="s">
        <v>82</v>
      </c>
      <c r="C26" s="260">
        <f>'Ökosteuer 2018'!C26</f>
        <v>0</v>
      </c>
      <c r="D26" s="303"/>
      <c r="E26" s="103"/>
      <c r="F26" s="42"/>
      <c r="G26" s="112"/>
      <c r="H26" s="82" t="s">
        <v>68</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38" t="s">
        <v>8</v>
      </c>
      <c r="C27" s="2">
        <f>'Ökosteuer 2018'!C27</f>
        <v>0</v>
      </c>
      <c r="D27" s="303"/>
      <c r="E27" s="103"/>
      <c r="F27" s="42"/>
      <c r="G27" s="112"/>
      <c r="H27" s="82" t="s">
        <v>71</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39" t="s">
        <v>18</v>
      </c>
      <c r="C28" s="188">
        <f>'Ökosteuer 2018'!C28</f>
        <v>0</v>
      </c>
      <c r="D28" s="303"/>
      <c r="E28" s="103"/>
      <c r="F28" s="42"/>
      <c r="G28" s="112"/>
      <c r="H28" s="82" t="s">
        <v>133</v>
      </c>
      <c r="I28" s="36" t="s">
        <v>123</v>
      </c>
      <c r="J28" s="168">
        <f>PRODUCT(C25,10)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f>'Ökosteuer 2018'!C29</f>
        <v>0</v>
      </c>
      <c r="D29" s="303"/>
      <c r="E29" s="103"/>
      <c r="F29" s="42"/>
      <c r="G29" s="112"/>
      <c r="H29" s="82" t="s">
        <v>134</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100</v>
      </c>
      <c r="C30" s="154">
        <f>'Ökosteuer 2018'!C30</f>
        <v>0</v>
      </c>
      <c r="D30" s="303"/>
      <c r="E30" s="103"/>
      <c r="F30" s="42"/>
      <c r="G30" s="112"/>
      <c r="H30" s="166"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1" t="s">
        <v>81</v>
      </c>
      <c r="C31" s="154">
        <f>'Ökosteuer 2018'!C31</f>
        <v>0</v>
      </c>
      <c r="D31" s="303"/>
      <c r="E31" s="103"/>
      <c r="F31" s="42"/>
      <c r="G31" s="112"/>
      <c r="H31" s="82" t="s">
        <v>22</v>
      </c>
      <c r="I31" s="171" t="s">
        <v>34</v>
      </c>
      <c r="J31" s="168">
        <f>PRODUCT(C28,5.5)</f>
        <v>0</v>
      </c>
      <c r="K31" s="111"/>
      <c r="L31" s="105"/>
      <c r="M31" s="87"/>
      <c r="N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3" t="s">
        <v>82</v>
      </c>
      <c r="C32" s="260">
        <f>'Ökosteuer 2018'!C32</f>
        <v>0</v>
      </c>
      <c r="D32" s="303"/>
      <c r="E32" s="103"/>
      <c r="F32" s="42"/>
      <c r="G32" s="112"/>
      <c r="H32" s="82"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38" t="s">
        <v>9</v>
      </c>
      <c r="C33" s="2">
        <f>'Ökosteuer 2018'!C33</f>
        <v>0</v>
      </c>
      <c r="D33" s="304"/>
      <c r="E33" s="103"/>
      <c r="F33" s="42"/>
      <c r="G33" s="112"/>
      <c r="H33" s="82" t="s">
        <v>72</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8">
        <f>'Ökosteuer 2018'!C34</f>
        <v>0</v>
      </c>
      <c r="D34" s="304"/>
      <c r="E34" s="103"/>
      <c r="F34" s="42"/>
      <c r="G34" s="112"/>
      <c r="H34" s="82" t="s">
        <v>78</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4">
        <f>'Ökosteuer 2018'!C35</f>
        <v>0</v>
      </c>
      <c r="D35" s="304"/>
      <c r="E35" s="103"/>
      <c r="F35" s="42"/>
      <c r="G35" s="112"/>
      <c r="H35" s="82" t="s">
        <v>79</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100</v>
      </c>
      <c r="C36" s="154">
        <f>'Ökosteuer 2018'!C36</f>
        <v>0</v>
      </c>
      <c r="D36" s="304"/>
      <c r="E36" s="103"/>
      <c r="F36" s="10"/>
      <c r="G36" s="10"/>
      <c r="H36" s="166"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85</v>
      </c>
      <c r="C37" s="154">
        <f>'Ökosteuer 2018'!C37</f>
        <v>0</v>
      </c>
      <c r="D37" s="304"/>
      <c r="E37" s="103"/>
      <c r="F37" s="42"/>
      <c r="G37" s="112"/>
      <c r="H37" s="82"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3" t="s">
        <v>82</v>
      </c>
      <c r="C38" s="260">
        <f>'Ökosteuer 2018'!C38</f>
        <v>0</v>
      </c>
      <c r="D38" s="305"/>
      <c r="E38" s="103"/>
      <c r="F38" s="42"/>
      <c r="G38" s="112"/>
      <c r="H38" s="82"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09"/>
      <c r="B39" s="118"/>
      <c r="C39" s="118"/>
      <c r="D39" s="118"/>
      <c r="E39" s="103"/>
      <c r="F39" s="42"/>
      <c r="G39" s="112"/>
      <c r="H39" s="82" t="s">
        <v>74</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09"/>
      <c r="B40" s="289" t="s">
        <v>119</v>
      </c>
      <c r="C40" s="290"/>
      <c r="D40" s="291"/>
      <c r="E40" s="103"/>
      <c r="F40" s="42"/>
      <c r="G40" s="112"/>
      <c r="H40" s="82" t="s">
        <v>75</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7" customHeight="1" thickBot="1" x14ac:dyDescent="0.3">
      <c r="A41" s="109"/>
      <c r="B41" s="308" t="s">
        <v>120</v>
      </c>
      <c r="C41" s="259" t="s">
        <v>4</v>
      </c>
      <c r="D41" s="258"/>
      <c r="E41" s="103"/>
      <c r="F41" s="10"/>
      <c r="G41" s="10"/>
      <c r="H41" s="82" t="s">
        <v>76</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1" customHeight="1" thickBot="1" x14ac:dyDescent="0.35">
      <c r="A42" s="109"/>
      <c r="B42" s="309"/>
      <c r="C42" s="250">
        <f>SUM(C47:C49)</f>
        <v>0</v>
      </c>
      <c r="D42" s="257" t="s">
        <v>114</v>
      </c>
      <c r="E42" s="103"/>
      <c r="F42" s="42"/>
      <c r="G42" s="42"/>
      <c r="H42" s="167" t="s">
        <v>5</v>
      </c>
      <c r="I42" s="172"/>
      <c r="J42" s="170">
        <v>-250</v>
      </c>
      <c r="K42" s="111"/>
      <c r="L42" s="270">
        <v>51</v>
      </c>
      <c r="M42" s="270">
        <v>53</v>
      </c>
      <c r="N42" s="270">
        <v>54</v>
      </c>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175" t="s">
        <v>86</v>
      </c>
      <c r="I43" s="163"/>
      <c r="J43" s="164">
        <f>IF(SUM(J22,J30,J36)&gt;250,SUM(J22:J42),SUM(J23:J29,J31:J35,J37:J41))</f>
        <v>0</v>
      </c>
      <c r="K43" s="111"/>
      <c r="L43" s="271">
        <f>SUM(J23,J31,J37)</f>
        <v>0</v>
      </c>
      <c r="M43" s="271">
        <f>SUM(J24:J29,J32:J35,J38:J41)</f>
        <v>0</v>
      </c>
      <c r="N43" s="271">
        <f>SUM(J22,J30,J36,J42)</f>
        <v>-250</v>
      </c>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91"/>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87"/>
      <c r="BG46" s="87"/>
    </row>
    <row r="47" spans="1:59" s="6" customFormat="1" ht="20.25" customHeight="1" thickBot="1" x14ac:dyDescent="0.35">
      <c r="A47" s="115"/>
      <c r="B47" s="156" t="s">
        <v>110</v>
      </c>
      <c r="C47" s="243">
        <f>'Ökosteuer 2018'!C47</f>
        <v>0</v>
      </c>
      <c r="D47" s="240"/>
      <c r="E47" s="104"/>
      <c r="F47" s="5"/>
      <c r="G47" s="5"/>
      <c r="H47" s="33" t="s">
        <v>47</v>
      </c>
      <c r="I47" s="39"/>
      <c r="J47" s="40">
        <f>IF(SUM(PRODUCT(SUM(C19,-C20,-C21,-C22,-C23),5.11),PRODUCT(SUM(C27,-C28,-C29,-C30,-C31,-C32),2.28),PRODUCT(SUM(C33,-C34,-C35,-C36,-C37,-C38),19.89),-750)&lt;0,0,SUM(PRODUCT(SUM(C19,-C20,-C21,-C22,-C23),5.11),PRODUCT(SUM(C27,-C28,-C29,-C30,-C31,-C32),2.28),PRODUCT(SUM(C33,-C34,-C35,-C36,-C37,-C38),19.89),-750))</f>
        <v>0</v>
      </c>
      <c r="K47" s="116"/>
      <c r="L47" s="193">
        <f>J47*0.9</f>
        <v>0</v>
      </c>
      <c r="M47" s="193"/>
      <c r="N47" s="193"/>
      <c r="O47" s="28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05"/>
      <c r="BG47" s="87"/>
    </row>
    <row r="48" spans="1:59" s="6" customFormat="1" ht="23.25" customHeight="1" thickBot="1" x14ac:dyDescent="0.4">
      <c r="A48" s="115"/>
      <c r="B48" s="140" t="s">
        <v>111</v>
      </c>
      <c r="C48" s="244">
        <f>'Ökosteuer 2018'!C48</f>
        <v>0</v>
      </c>
      <c r="D48" s="239"/>
      <c r="E48" s="118"/>
      <c r="F48" s="5"/>
      <c r="G48" s="5"/>
      <c r="H48" s="85" t="s">
        <v>121</v>
      </c>
      <c r="I48" s="69"/>
      <c r="J48" s="73">
        <f>IF(L48&gt;L47,IF(L47&lt;0,0,L47),IF(L48&lt;0,0,L48))</f>
        <v>0</v>
      </c>
      <c r="K48" s="116"/>
      <c r="L48" s="193">
        <f>SUM((J11+J47)-D18)*0.9</f>
        <v>3848.3910000000001</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89"/>
      <c r="BG48" s="89"/>
    </row>
    <row r="49" spans="1:59" s="6" customFormat="1" ht="20.25" customHeight="1" thickBot="1" x14ac:dyDescent="0.35">
      <c r="A49" s="115"/>
      <c r="B49" s="143" t="s">
        <v>112</v>
      </c>
      <c r="C49" s="245">
        <f>'Ökosteuer 2018'!C49</f>
        <v>0</v>
      </c>
      <c r="D49" s="241"/>
      <c r="E49" s="118"/>
      <c r="F49" s="5"/>
      <c r="G49" s="5"/>
      <c r="H49" s="103"/>
      <c r="I49" s="103"/>
      <c r="J49" s="111"/>
      <c r="K49" s="116"/>
      <c r="L49" s="194"/>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89"/>
      <c r="BG49" s="89"/>
    </row>
    <row r="50" spans="1:59" s="6" customFormat="1" ht="18.75" customHeight="1" thickBot="1" x14ac:dyDescent="0.4">
      <c r="A50" s="109"/>
      <c r="B50" s="118"/>
      <c r="C50" s="118"/>
      <c r="D50" s="118"/>
      <c r="E50" s="118"/>
      <c r="F50" s="117"/>
      <c r="G50" s="117"/>
      <c r="H50" s="236" t="s">
        <v>115</v>
      </c>
      <c r="I50" s="237"/>
      <c r="J50" s="73">
        <f>IF(SUM(C47*(669.8-61.35),C48*(654.5-61.35),C49*(721-61.35))&lt;50,0,SUM(C47*(669.8-61.35),C48*(654.5-61.35),C49*(721-61.35)))</f>
        <v>0</v>
      </c>
      <c r="K50" s="116"/>
      <c r="L50" s="194"/>
      <c r="M50" s="194"/>
      <c r="N50" s="194"/>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row>
    <row r="51" spans="1:59" s="6" customFormat="1" ht="24" customHeight="1" thickBot="1" x14ac:dyDescent="0.35">
      <c r="A51" s="115"/>
      <c r="B51" s="310" t="s">
        <v>117</v>
      </c>
      <c r="C51" s="311"/>
      <c r="D51" s="312"/>
      <c r="E51" s="104"/>
      <c r="F51" s="117"/>
      <c r="G51" s="117"/>
      <c r="H51" s="118"/>
      <c r="I51" s="118"/>
      <c r="J51" s="118"/>
      <c r="K51" s="116"/>
    </row>
    <row r="52" spans="1:59" s="6" customFormat="1" ht="18.75" customHeight="1" thickBot="1" x14ac:dyDescent="0.4">
      <c r="A52" s="115"/>
      <c r="B52" s="313"/>
      <c r="C52" s="314"/>
      <c r="D52" s="315"/>
      <c r="E52" s="104"/>
      <c r="F52" s="117"/>
      <c r="G52" s="117"/>
      <c r="H52" s="183" t="s">
        <v>31</v>
      </c>
      <c r="I52" s="144"/>
      <c r="J52" s="198">
        <f>SUM(J9,J14,J17,J18,J43,J48,J50)</f>
        <v>5275.9009999999998</v>
      </c>
      <c r="K52" s="116"/>
    </row>
    <row r="53" spans="1:59" s="6" customFormat="1" ht="19.5" customHeight="1" x14ac:dyDescent="0.3">
      <c r="A53" s="115"/>
      <c r="B53" s="313"/>
      <c r="C53" s="314"/>
      <c r="D53" s="315"/>
      <c r="E53" s="104"/>
      <c r="F53" s="117"/>
      <c r="G53" s="117"/>
      <c r="H53" s="319" t="s">
        <v>171</v>
      </c>
      <c r="I53" s="320"/>
      <c r="J53" s="135">
        <f>SUM(C7*20.5,C19*20.45,C24*25,C27*3.66,C33*35.04)</f>
        <v>6703.5</v>
      </c>
      <c r="K53" s="116"/>
    </row>
    <row r="54" spans="1:59" s="6" customFormat="1" ht="19.5" customHeight="1" thickBot="1" x14ac:dyDescent="0.35">
      <c r="A54" s="115"/>
      <c r="B54" s="313"/>
      <c r="C54" s="314"/>
      <c r="D54" s="315"/>
      <c r="E54" s="104"/>
      <c r="F54" s="117"/>
      <c r="G54" s="117"/>
      <c r="H54" s="321" t="s">
        <v>51</v>
      </c>
      <c r="I54" s="322"/>
      <c r="J54" s="91">
        <f>J53-J52+J50</f>
        <v>1427.5990000000002</v>
      </c>
      <c r="K54" s="116"/>
    </row>
    <row r="55" spans="1:59" s="6" customFormat="1" ht="21" customHeight="1" thickBot="1" x14ac:dyDescent="0.35">
      <c r="A55" s="115"/>
      <c r="B55" s="313"/>
      <c r="C55" s="314"/>
      <c r="D55" s="315"/>
      <c r="E55" s="104"/>
      <c r="F55" s="117"/>
      <c r="G55" s="117"/>
      <c r="H55" s="104"/>
      <c r="I55" s="104"/>
      <c r="J55" s="104"/>
      <c r="K55" s="116"/>
    </row>
    <row r="56" spans="1:59" s="6" customFormat="1" ht="24.75" customHeight="1" x14ac:dyDescent="0.3">
      <c r="A56" s="115"/>
      <c r="B56" s="313"/>
      <c r="C56" s="314"/>
      <c r="D56" s="315"/>
      <c r="E56" s="104"/>
      <c r="F56" s="104"/>
      <c r="G56" s="104"/>
      <c r="H56" s="323" t="s">
        <v>83</v>
      </c>
      <c r="I56" s="324"/>
      <c r="J56" s="325"/>
      <c r="K56" s="116"/>
    </row>
    <row r="57" spans="1:59" s="6" customFormat="1" ht="24.75" customHeight="1" x14ac:dyDescent="0.3">
      <c r="A57" s="115"/>
      <c r="B57" s="313"/>
      <c r="C57" s="314"/>
      <c r="D57" s="315"/>
      <c r="E57" s="104"/>
      <c r="F57" s="104"/>
      <c r="G57" s="104"/>
      <c r="H57" s="326"/>
      <c r="I57" s="327"/>
      <c r="J57" s="328"/>
      <c r="K57" s="116"/>
    </row>
    <row r="58" spans="1:59" s="6" customFormat="1" ht="24" customHeight="1" thickBot="1" x14ac:dyDescent="0.35">
      <c r="A58" s="115"/>
      <c r="B58" s="316"/>
      <c r="C58" s="317"/>
      <c r="D58" s="318"/>
      <c r="E58" s="104"/>
      <c r="F58" s="117"/>
      <c r="G58" s="117"/>
      <c r="H58" s="329"/>
      <c r="I58" s="330"/>
      <c r="J58" s="331"/>
      <c r="K58" s="116"/>
    </row>
    <row r="59" spans="1:59" s="6" customFormat="1" ht="16.5" customHeight="1" thickBot="1" x14ac:dyDescent="0.35">
      <c r="A59" s="115"/>
      <c r="B59" s="104"/>
      <c r="C59" s="104"/>
      <c r="D59" s="104"/>
      <c r="E59" s="104"/>
      <c r="F59" s="117"/>
      <c r="G59" s="117"/>
      <c r="H59" s="104"/>
      <c r="I59" s="104"/>
      <c r="J59" s="104"/>
      <c r="K59" s="116"/>
    </row>
    <row r="60" spans="1:59" s="6" customFormat="1" ht="183.75" customHeight="1" thickBot="1" x14ac:dyDescent="0.35">
      <c r="A60" s="115"/>
      <c r="B60" s="332" t="s">
        <v>180</v>
      </c>
      <c r="C60" s="333"/>
      <c r="D60" s="334"/>
      <c r="E60" s="104"/>
      <c r="F60" s="117"/>
      <c r="G60" s="117"/>
      <c r="H60" s="335" t="s">
        <v>178</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82"/>
      <c r="D62" s="282"/>
      <c r="E62" s="9"/>
      <c r="F62" s="7"/>
      <c r="G62" s="7"/>
      <c r="H62" s="7"/>
      <c r="I62" s="7"/>
      <c r="J62" s="7"/>
      <c r="K62" s="9"/>
    </row>
    <row r="63" spans="1:59" s="6" customFormat="1" ht="13" x14ac:dyDescent="0.3">
      <c r="A63" s="9"/>
      <c r="B63" s="282"/>
      <c r="C63" s="282"/>
      <c r="D63" s="282"/>
      <c r="E63" s="9"/>
      <c r="F63" s="7"/>
      <c r="G63" s="7"/>
      <c r="H63" s="7"/>
      <c r="I63" s="7"/>
      <c r="J63" s="7"/>
      <c r="K63" s="9"/>
    </row>
    <row r="64" spans="1:59" s="6" customFormat="1" ht="17.25" customHeight="1" x14ac:dyDescent="0.3">
      <c r="A64" s="9"/>
      <c r="B64" s="158"/>
      <c r="C64" s="282"/>
      <c r="D64" s="282"/>
      <c r="E64" s="9"/>
      <c r="F64" s="7"/>
      <c r="G64" s="7"/>
      <c r="H64" s="7"/>
      <c r="I64" s="7"/>
      <c r="J64" s="7"/>
      <c r="K64" s="9"/>
    </row>
    <row r="65" spans="1:11" s="6" customFormat="1" ht="13" x14ac:dyDescent="0.3">
      <c r="A65" s="9"/>
      <c r="B65" s="282"/>
      <c r="C65" s="282"/>
      <c r="D65" s="282"/>
      <c r="E65" s="9"/>
      <c r="F65" s="7"/>
      <c r="G65" s="7"/>
      <c r="H65" s="7"/>
      <c r="I65" s="7"/>
      <c r="J65" s="7"/>
      <c r="K65" s="9"/>
    </row>
    <row r="66" spans="1:11" s="6" customFormat="1" ht="13" x14ac:dyDescent="0.3">
      <c r="A66" s="9"/>
      <c r="B66" s="282"/>
      <c r="C66" s="282"/>
      <c r="D66" s="282"/>
      <c r="E66" s="9"/>
      <c r="F66" s="7"/>
      <c r="G66" s="7"/>
      <c r="H66" s="306"/>
      <c r="I66" s="307"/>
      <c r="J66" s="307"/>
      <c r="K66" s="9"/>
    </row>
    <row r="67" spans="1:11" s="6" customFormat="1" ht="13" x14ac:dyDescent="0.3">
      <c r="A67" s="9"/>
      <c r="B67" s="282"/>
      <c r="C67" s="282"/>
      <c r="D67" s="282"/>
      <c r="E67" s="9"/>
      <c r="F67" s="7"/>
      <c r="G67" s="7"/>
      <c r="H67" s="307"/>
      <c r="I67" s="307"/>
      <c r="J67" s="307"/>
      <c r="K67" s="9"/>
    </row>
    <row r="68" spans="1:11" s="6" customFormat="1" x14ac:dyDescent="0.25">
      <c r="A68" s="8"/>
      <c r="B68" s="282"/>
      <c r="C68" s="282"/>
      <c r="D68" s="282"/>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formatCells="0" formatColumns="0" formatRows="0" insertColumns="0" insertRows="0" insertHyperlinks="0" deleteColumns="0" deleteRows="0" sort="0" autoFilter="0" pivotTables="0"/>
  <mergeCells count="14">
    <mergeCell ref="H66:J82"/>
    <mergeCell ref="B41:B42"/>
    <mergeCell ref="B51:D58"/>
    <mergeCell ref="H53:I53"/>
    <mergeCell ref="H54:I54"/>
    <mergeCell ref="H56:J58"/>
    <mergeCell ref="B60:D60"/>
    <mergeCell ref="H60:J60"/>
    <mergeCell ref="B40:D40"/>
    <mergeCell ref="B2:J2"/>
    <mergeCell ref="B5:B6"/>
    <mergeCell ref="C5:C6"/>
    <mergeCell ref="D5:D6"/>
    <mergeCell ref="D19:D38"/>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BG265"/>
  <sheetViews>
    <sheetView zoomScaleNormal="100" workbookViewId="0">
      <selection activeCell="C14" sqref="C14"/>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3.75" customHeight="1" thickBot="1" x14ac:dyDescent="0.3">
      <c r="A2" s="107"/>
      <c r="B2" s="292" t="s">
        <v>176</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296" t="s">
        <v>3</v>
      </c>
      <c r="C5" s="298" t="s">
        <v>4</v>
      </c>
      <c r="D5" s="300"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297"/>
      <c r="C6" s="299"/>
      <c r="D6" s="301"/>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f>'Ökosteuer 2017'!C7</f>
        <v>1000</v>
      </c>
      <c r="D7" s="21"/>
      <c r="E7" s="103"/>
      <c r="F7" s="42"/>
      <c r="G7" s="112"/>
      <c r="H7" s="80" t="s">
        <v>43</v>
      </c>
      <c r="I7" s="79" t="s">
        <v>52</v>
      </c>
      <c r="J7" s="25">
        <f>PRODUCT($C$10,5.13)</f>
        <v>5130</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f>'Ökosteuer 2017'!C8</f>
        <v>0</v>
      </c>
      <c r="D8" s="22"/>
      <c r="E8" s="103"/>
      <c r="F8" s="42"/>
      <c r="G8" s="112"/>
      <c r="H8" s="82" t="s">
        <v>44</v>
      </c>
      <c r="I8" s="36" t="s">
        <v>53</v>
      </c>
      <c r="J8" s="26">
        <v>250</v>
      </c>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f>'Ökosteuer 2017'!C9</f>
        <v>0</v>
      </c>
      <c r="D9" s="22"/>
      <c r="E9" s="103"/>
      <c r="F9" s="42"/>
      <c r="G9" s="112"/>
      <c r="H9" s="281" t="s">
        <v>45</v>
      </c>
      <c r="I9" s="51"/>
      <c r="J9" s="73">
        <f>IF(J7&lt;250.01,0,SUM(J7,-J8))</f>
        <v>4880</v>
      </c>
      <c r="K9" s="114"/>
      <c r="L9" s="105">
        <f>IF(C13&gt;19.5,19.5,C13)</f>
        <v>18.600000000000001</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1000</v>
      </c>
      <c r="D10" s="23"/>
      <c r="E10" s="103"/>
      <c r="F10" s="42"/>
      <c r="G10" s="112"/>
      <c r="H10" s="80" t="s">
        <v>46</v>
      </c>
      <c r="I10" s="79"/>
      <c r="J10" s="25">
        <f>IF($C$10&lt;48.732943,PRODUCT($C$10,20.5),(PRODUCT($C$10,20.5)-J9))</f>
        <v>15620</v>
      </c>
      <c r="K10" s="114"/>
      <c r="L10" s="105">
        <f>IF(C16&gt;25.9,25.9,C16)</f>
        <v>24.7</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f>'Ökosteuer 2017'!C11</f>
        <v>0</v>
      </c>
      <c r="D11" s="61">
        <f>(C11*D13)/(C13)</f>
        <v>0</v>
      </c>
      <c r="E11" s="103"/>
      <c r="F11" s="42"/>
      <c r="G11" s="112"/>
      <c r="H11" s="27" t="s">
        <v>60</v>
      </c>
      <c r="I11" s="28"/>
      <c r="J11" s="29">
        <f>IF(J10&lt;1000,0,SUM(J10,-1000))</f>
        <v>14620</v>
      </c>
      <c r="K11" s="114"/>
      <c r="L11" s="105">
        <f>IF(C17&gt;16.15,16.15,C17)</f>
        <v>15.4</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f>'Ökosteuer 2017'!C12</f>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280" t="s">
        <v>173</v>
      </c>
      <c r="C13" s="60">
        <v>18.600000000000001</v>
      </c>
      <c r="D13" s="63">
        <f>L9</f>
        <v>18.600000000000001</v>
      </c>
      <c r="E13" s="103"/>
      <c r="F13" s="42"/>
      <c r="G13" s="112"/>
      <c r="H13" s="30" t="s">
        <v>11</v>
      </c>
      <c r="I13" s="31"/>
      <c r="J13" s="32">
        <f>J11-D18</f>
        <v>14620</v>
      </c>
      <c r="K13" s="114"/>
      <c r="L13" s="105">
        <f>J11*0.9</f>
        <v>13158</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f>'Ökosteuer 2017'!C14</f>
        <v>0</v>
      </c>
      <c r="D14" s="62">
        <f>(C14*D17)/(C17)</f>
        <v>0</v>
      </c>
      <c r="E14" s="103"/>
      <c r="F14" s="42"/>
      <c r="G14" s="112"/>
      <c r="H14" s="50" t="s">
        <v>122</v>
      </c>
      <c r="I14" s="51"/>
      <c r="J14" s="73">
        <f>IF(L15&lt;0,0,L15)</f>
        <v>13158</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3">
        <f>'Ökosteuer 2017'!C15</f>
        <v>0</v>
      </c>
      <c r="D15" s="62">
        <f>(C15*D16)/(C16)</f>
        <v>0</v>
      </c>
      <c r="E15" s="103"/>
      <c r="F15" s="42"/>
      <c r="G15" s="112"/>
      <c r="H15" s="74" t="s">
        <v>1</v>
      </c>
      <c r="I15" s="75"/>
      <c r="J15" s="34">
        <f>(C10*20.5)-J9-J14</f>
        <v>2462</v>
      </c>
      <c r="K15" s="114"/>
      <c r="L15" s="105">
        <f>J13*0.9</f>
        <v>13158</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280" t="s">
        <v>174</v>
      </c>
      <c r="C16" s="93">
        <v>24.7</v>
      </c>
      <c r="D16" s="63">
        <f>L10</f>
        <v>24.7</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280" t="s">
        <v>175</v>
      </c>
      <c r="C17" s="65">
        <v>15.4</v>
      </c>
      <c r="D17" s="64">
        <f>L11</f>
        <v>15.4</v>
      </c>
      <c r="E17" s="103"/>
      <c r="F17" s="42"/>
      <c r="G17" s="112"/>
      <c r="H17" s="52" t="s">
        <v>30</v>
      </c>
      <c r="I17" s="53"/>
      <c r="J17" s="73">
        <f>C8*20.5</f>
        <v>0</v>
      </c>
      <c r="K17" s="114"/>
      <c r="L17" s="105">
        <f>IF(L15&lt;L13,L15,L13)</f>
        <v>13158</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138" t="s">
        <v>36</v>
      </c>
      <c r="C19" s="2">
        <f>'Ökosteuer 2017'!C19</f>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286">
        <f>'Ökosteuer 2017'!C20</f>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244">
        <f>'Ökosteuer 2017'!C21</f>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100</v>
      </c>
      <c r="C22" s="246">
        <f>'Ökosteuer 2017'!C22</f>
        <v>0</v>
      </c>
      <c r="D22" s="303"/>
      <c r="E22" s="103"/>
      <c r="F22" s="42"/>
      <c r="G22" s="112"/>
      <c r="H22" s="165"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66</v>
      </c>
      <c r="C23" s="246">
        <f>'Ökosteuer 2017'!C23</f>
        <v>0</v>
      </c>
      <c r="D23" s="303"/>
      <c r="E23" s="103"/>
      <c r="F23" s="42"/>
      <c r="G23" s="112"/>
      <c r="H23" s="82"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138" t="s">
        <v>137</v>
      </c>
      <c r="C24" s="176">
        <f>'Ökosteuer 2017'!C24</f>
        <v>0</v>
      </c>
      <c r="D24" s="303"/>
      <c r="E24" s="103"/>
      <c r="F24" s="42"/>
      <c r="G24" s="112"/>
      <c r="H24" s="82"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56" t="s">
        <v>125</v>
      </c>
      <c r="C25" s="243">
        <f>'Ökosteuer 2017'!C25</f>
        <v>0</v>
      </c>
      <c r="D25" s="303"/>
      <c r="E25" s="103"/>
      <c r="F25" s="42"/>
      <c r="G25" s="112"/>
      <c r="H25" s="82" t="s">
        <v>67</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2" t="s">
        <v>82</v>
      </c>
      <c r="C26" s="260">
        <f>'Ökosteuer 2017'!C26</f>
        <v>0</v>
      </c>
      <c r="D26" s="303"/>
      <c r="E26" s="103"/>
      <c r="F26" s="42"/>
      <c r="G26" s="112"/>
      <c r="H26" s="82" t="s">
        <v>68</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38" t="s">
        <v>8</v>
      </c>
      <c r="C27" s="2">
        <f>'Ökosteuer 2017'!C27</f>
        <v>0</v>
      </c>
      <c r="D27" s="303"/>
      <c r="E27" s="103"/>
      <c r="F27" s="42"/>
      <c r="G27" s="112"/>
      <c r="H27" s="82" t="s">
        <v>71</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39" t="s">
        <v>18</v>
      </c>
      <c r="C28" s="188">
        <f>'Ökosteuer 2017'!C28</f>
        <v>0</v>
      </c>
      <c r="D28" s="303"/>
      <c r="E28" s="103"/>
      <c r="F28" s="42"/>
      <c r="G28" s="112"/>
      <c r="H28" s="82" t="s">
        <v>133</v>
      </c>
      <c r="I28" s="36" t="s">
        <v>123</v>
      </c>
      <c r="J28" s="168">
        <f>PRODUCT(C25,10)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f>'Ökosteuer 2017'!C29</f>
        <v>0</v>
      </c>
      <c r="D29" s="303"/>
      <c r="E29" s="103"/>
      <c r="F29" s="42"/>
      <c r="G29" s="112"/>
      <c r="H29" s="82" t="s">
        <v>134</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100</v>
      </c>
      <c r="C30" s="154">
        <f>'Ökosteuer 2017'!C30</f>
        <v>0</v>
      </c>
      <c r="D30" s="303"/>
      <c r="E30" s="103"/>
      <c r="F30" s="42"/>
      <c r="G30" s="112"/>
      <c r="H30" s="166"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1" t="s">
        <v>81</v>
      </c>
      <c r="C31" s="154">
        <f>'Ökosteuer 2017'!C31</f>
        <v>0</v>
      </c>
      <c r="D31" s="303"/>
      <c r="E31" s="103"/>
      <c r="F31" s="42"/>
      <c r="G31" s="112"/>
      <c r="H31" s="82" t="s">
        <v>22</v>
      </c>
      <c r="I31" s="171" t="s">
        <v>34</v>
      </c>
      <c r="J31" s="168">
        <f>PRODUCT(C28,5.5)</f>
        <v>0</v>
      </c>
      <c r="K31" s="111"/>
      <c r="L31" s="105"/>
      <c r="M31" s="87"/>
      <c r="N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3" t="s">
        <v>82</v>
      </c>
      <c r="C32" s="260">
        <f>'Ökosteuer 2017'!C32</f>
        <v>0</v>
      </c>
      <c r="D32" s="303"/>
      <c r="E32" s="103"/>
      <c r="F32" s="42"/>
      <c r="G32" s="112"/>
      <c r="H32" s="82"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38" t="s">
        <v>9</v>
      </c>
      <c r="C33" s="2">
        <f>'Ökosteuer 2017'!C33</f>
        <v>0</v>
      </c>
      <c r="D33" s="304"/>
      <c r="E33" s="103"/>
      <c r="F33" s="42"/>
      <c r="G33" s="112"/>
      <c r="H33" s="82" t="s">
        <v>72</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8">
        <f>'Ökosteuer 2017'!C34</f>
        <v>0</v>
      </c>
      <c r="D34" s="304"/>
      <c r="E34" s="103"/>
      <c r="F34" s="42"/>
      <c r="G34" s="112"/>
      <c r="H34" s="82" t="s">
        <v>78</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4">
        <f>'Ökosteuer 2017'!C35</f>
        <v>0</v>
      </c>
      <c r="D35" s="304"/>
      <c r="E35" s="103"/>
      <c r="F35" s="42"/>
      <c r="G35" s="112"/>
      <c r="H35" s="82" t="s">
        <v>79</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100</v>
      </c>
      <c r="C36" s="154">
        <f>'Ökosteuer 2017'!C36</f>
        <v>0</v>
      </c>
      <c r="D36" s="304"/>
      <c r="E36" s="103"/>
      <c r="F36" s="10"/>
      <c r="G36" s="10"/>
      <c r="H36" s="166"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85</v>
      </c>
      <c r="C37" s="154">
        <f>'Ökosteuer 2017'!C37</f>
        <v>0</v>
      </c>
      <c r="D37" s="304"/>
      <c r="E37" s="103"/>
      <c r="F37" s="42"/>
      <c r="G37" s="112"/>
      <c r="H37" s="82"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3" t="s">
        <v>82</v>
      </c>
      <c r="C38" s="260">
        <f>'Ökosteuer 2017'!C38</f>
        <v>0</v>
      </c>
      <c r="D38" s="305"/>
      <c r="E38" s="103"/>
      <c r="F38" s="42"/>
      <c r="G38" s="112"/>
      <c r="H38" s="82"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09"/>
      <c r="B39" s="118"/>
      <c r="C39" s="118"/>
      <c r="D39" s="118"/>
      <c r="E39" s="103"/>
      <c r="F39" s="42"/>
      <c r="G39" s="112"/>
      <c r="H39" s="82" t="s">
        <v>74</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09"/>
      <c r="B40" s="289" t="s">
        <v>119</v>
      </c>
      <c r="C40" s="290"/>
      <c r="D40" s="291"/>
      <c r="E40" s="103"/>
      <c r="F40" s="42"/>
      <c r="G40" s="112"/>
      <c r="H40" s="82" t="s">
        <v>75</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7" customHeight="1" thickBot="1" x14ac:dyDescent="0.3">
      <c r="A41" s="109"/>
      <c r="B41" s="308" t="s">
        <v>120</v>
      </c>
      <c r="C41" s="259" t="s">
        <v>4</v>
      </c>
      <c r="D41" s="258"/>
      <c r="E41" s="103"/>
      <c r="F41" s="10"/>
      <c r="G41" s="10"/>
      <c r="H41" s="82" t="s">
        <v>76</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1" customHeight="1" thickBot="1" x14ac:dyDescent="0.35">
      <c r="A42" s="109"/>
      <c r="B42" s="309"/>
      <c r="C42" s="250">
        <f>SUM(C47:C49)</f>
        <v>0</v>
      </c>
      <c r="D42" s="257" t="s">
        <v>114</v>
      </c>
      <c r="E42" s="103"/>
      <c r="F42" s="42"/>
      <c r="G42" s="42"/>
      <c r="H42" s="167" t="s">
        <v>5</v>
      </c>
      <c r="I42" s="172"/>
      <c r="J42" s="170">
        <v>-250</v>
      </c>
      <c r="K42" s="111"/>
      <c r="L42" s="270">
        <v>51</v>
      </c>
      <c r="M42" s="270">
        <v>53</v>
      </c>
      <c r="N42" s="270">
        <v>54</v>
      </c>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175" t="s">
        <v>86</v>
      </c>
      <c r="I43" s="163"/>
      <c r="J43" s="164">
        <f>IF(SUM(J22,J30,J36)&gt;250,SUM(J22:J42),SUM(J23:J29,J31:J35,J37:J41))</f>
        <v>0</v>
      </c>
      <c r="K43" s="111"/>
      <c r="L43" s="271">
        <f>SUM(J23,J31,J37)</f>
        <v>0</v>
      </c>
      <c r="M43" s="271">
        <f>SUM(J24:J29,J32:J35,J38:J41)</f>
        <v>0</v>
      </c>
      <c r="N43" s="271">
        <f>SUM(J22,J30,J36,J42)</f>
        <v>-250</v>
      </c>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91"/>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87"/>
      <c r="BG46" s="87"/>
    </row>
    <row r="47" spans="1:59" s="6" customFormat="1" ht="20.25" customHeight="1" thickBot="1" x14ac:dyDescent="0.35">
      <c r="A47" s="115"/>
      <c r="B47" s="156" t="s">
        <v>110</v>
      </c>
      <c r="C47" s="243">
        <f>'Ökosteuer 2017'!C47</f>
        <v>0</v>
      </c>
      <c r="D47" s="240"/>
      <c r="E47" s="104"/>
      <c r="F47" s="5"/>
      <c r="G47" s="5"/>
      <c r="H47" s="33" t="s">
        <v>47</v>
      </c>
      <c r="I47" s="39"/>
      <c r="J47" s="40">
        <f>IF(SUM(PRODUCT(SUM(C19,-C20,-C21,-C22,-C23),5.11),PRODUCT(SUM(C27,-C28,-C29,-C30,-C31,-C32),2.28),PRODUCT(SUM(C33,-C34,-C35,-C36,-C37,-C38),19.89),-750)&lt;0,0,SUM(PRODUCT(SUM(C19,-C20,-C21,-C22,-C23),5.11),PRODUCT(SUM(C27,-C28,-C29,-C30,-C31,-C32),2.28),PRODUCT(SUM(C33,-C34,-C35,-C36,-C37,-C38),19.89),-750))</f>
        <v>0</v>
      </c>
      <c r="K47" s="116"/>
      <c r="L47" s="193">
        <f>J47*0.9</f>
        <v>0</v>
      </c>
      <c r="M47" s="193"/>
      <c r="N47" s="193"/>
      <c r="O47" s="28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05"/>
      <c r="BG47" s="87"/>
    </row>
    <row r="48" spans="1:59" s="6" customFormat="1" ht="23.25" customHeight="1" thickBot="1" x14ac:dyDescent="0.4">
      <c r="A48" s="115"/>
      <c r="B48" s="140" t="s">
        <v>111</v>
      </c>
      <c r="C48" s="244">
        <f>'Ökosteuer 2017'!C48</f>
        <v>0</v>
      </c>
      <c r="D48" s="239"/>
      <c r="E48" s="118"/>
      <c r="F48" s="5"/>
      <c r="G48" s="5"/>
      <c r="H48" s="85" t="s">
        <v>121</v>
      </c>
      <c r="I48" s="69"/>
      <c r="J48" s="73">
        <f>IF(L48&gt;L47,IF(L47&lt;0,0,L47),IF(L48&lt;0,0,L48))</f>
        <v>0</v>
      </c>
      <c r="K48" s="116"/>
      <c r="L48" s="193">
        <f>SUM((J11+J47)-D18)*0.9</f>
        <v>13158</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89"/>
      <c r="BG48" s="89"/>
    </row>
    <row r="49" spans="1:59" s="6" customFormat="1" ht="20.25" customHeight="1" thickBot="1" x14ac:dyDescent="0.35">
      <c r="A49" s="115"/>
      <c r="B49" s="143" t="s">
        <v>112</v>
      </c>
      <c r="C49" s="245">
        <f>'Ökosteuer 2017'!C49</f>
        <v>0</v>
      </c>
      <c r="D49" s="241"/>
      <c r="E49" s="118"/>
      <c r="F49" s="5"/>
      <c r="G49" s="5"/>
      <c r="H49" s="103"/>
      <c r="I49" s="103"/>
      <c r="J49" s="111"/>
      <c r="K49" s="116"/>
      <c r="L49" s="194"/>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89"/>
      <c r="BG49" s="89"/>
    </row>
    <row r="50" spans="1:59" s="6" customFormat="1" ht="18.75" customHeight="1" thickBot="1" x14ac:dyDescent="0.4">
      <c r="A50" s="109"/>
      <c r="B50" s="118"/>
      <c r="C50" s="118"/>
      <c r="D50" s="118"/>
      <c r="E50" s="118"/>
      <c r="F50" s="117"/>
      <c r="G50" s="117"/>
      <c r="H50" s="236" t="s">
        <v>115</v>
      </c>
      <c r="I50" s="237"/>
      <c r="J50" s="73">
        <f>IF(SUM(C47*(669.8-61.35),C48*(654.5-61.35),C49*(721-61.35))&lt;50,0,SUM(C47*(669.8-61.35),C48*(654.5-61.35),C49*(721-61.35)))</f>
        <v>0</v>
      </c>
      <c r="K50" s="116"/>
      <c r="L50" s="194"/>
      <c r="M50" s="194"/>
      <c r="N50" s="194"/>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row>
    <row r="51" spans="1:59" s="6" customFormat="1" ht="24" customHeight="1" thickBot="1" x14ac:dyDescent="0.35">
      <c r="A51" s="115"/>
      <c r="B51" s="310" t="s">
        <v>117</v>
      </c>
      <c r="C51" s="311"/>
      <c r="D51" s="312"/>
      <c r="E51" s="104"/>
      <c r="F51" s="117"/>
      <c r="G51" s="117"/>
      <c r="H51" s="118"/>
      <c r="I51" s="118"/>
      <c r="J51" s="118"/>
      <c r="K51" s="116"/>
    </row>
    <row r="52" spans="1:59" s="6" customFormat="1" ht="18.75" customHeight="1" thickBot="1" x14ac:dyDescent="0.4">
      <c r="A52" s="115"/>
      <c r="B52" s="313"/>
      <c r="C52" s="314"/>
      <c r="D52" s="315"/>
      <c r="E52" s="104"/>
      <c r="F52" s="117"/>
      <c r="G52" s="117"/>
      <c r="H52" s="183" t="s">
        <v>31</v>
      </c>
      <c r="I52" s="144"/>
      <c r="J52" s="198">
        <f>SUM(J9,J14,J17,J18,J43,J48,J50)</f>
        <v>18038</v>
      </c>
      <c r="K52" s="116"/>
    </row>
    <row r="53" spans="1:59" s="6" customFormat="1" ht="19.5" customHeight="1" x14ac:dyDescent="0.3">
      <c r="A53" s="115"/>
      <c r="B53" s="313"/>
      <c r="C53" s="314"/>
      <c r="D53" s="315"/>
      <c r="E53" s="104"/>
      <c r="F53" s="117"/>
      <c r="G53" s="117"/>
      <c r="H53" s="319" t="s">
        <v>171</v>
      </c>
      <c r="I53" s="320"/>
      <c r="J53" s="135">
        <f>SUM(C7*20.5,C19*20.45,C24*25,C27*3.66,C33*35.04)</f>
        <v>20500</v>
      </c>
      <c r="K53" s="116"/>
    </row>
    <row r="54" spans="1:59" s="6" customFormat="1" ht="19.5" customHeight="1" thickBot="1" x14ac:dyDescent="0.35">
      <c r="A54" s="115"/>
      <c r="B54" s="313"/>
      <c r="C54" s="314"/>
      <c r="D54" s="315"/>
      <c r="E54" s="104"/>
      <c r="F54" s="117"/>
      <c r="G54" s="117"/>
      <c r="H54" s="321" t="s">
        <v>51</v>
      </c>
      <c r="I54" s="322"/>
      <c r="J54" s="91">
        <f>J53-J52+J50</f>
        <v>2462</v>
      </c>
      <c r="K54" s="116"/>
    </row>
    <row r="55" spans="1:59" s="6" customFormat="1" ht="21" customHeight="1" thickBot="1" x14ac:dyDescent="0.35">
      <c r="A55" s="115"/>
      <c r="B55" s="313"/>
      <c r="C55" s="314"/>
      <c r="D55" s="315"/>
      <c r="E55" s="104"/>
      <c r="F55" s="117"/>
      <c r="G55" s="117"/>
      <c r="H55" s="104"/>
      <c r="I55" s="104"/>
      <c r="J55" s="104"/>
      <c r="K55" s="116"/>
    </row>
    <row r="56" spans="1:59" s="6" customFormat="1" ht="24.75" customHeight="1" x14ac:dyDescent="0.3">
      <c r="A56" s="115"/>
      <c r="B56" s="313"/>
      <c r="C56" s="314"/>
      <c r="D56" s="315"/>
      <c r="E56" s="104"/>
      <c r="F56" s="104"/>
      <c r="G56" s="104"/>
      <c r="H56" s="323" t="s">
        <v>83</v>
      </c>
      <c r="I56" s="324"/>
      <c r="J56" s="325"/>
      <c r="K56" s="116"/>
    </row>
    <row r="57" spans="1:59" s="6" customFormat="1" ht="24.75" customHeight="1" x14ac:dyDescent="0.3">
      <c r="A57" s="115"/>
      <c r="B57" s="313"/>
      <c r="C57" s="314"/>
      <c r="D57" s="315"/>
      <c r="E57" s="104"/>
      <c r="F57" s="104"/>
      <c r="G57" s="104"/>
      <c r="H57" s="326"/>
      <c r="I57" s="327"/>
      <c r="J57" s="328"/>
      <c r="K57" s="116"/>
    </row>
    <row r="58" spans="1:59" s="6" customFormat="1" ht="24" customHeight="1" thickBot="1" x14ac:dyDescent="0.35">
      <c r="A58" s="115"/>
      <c r="B58" s="316"/>
      <c r="C58" s="317"/>
      <c r="D58" s="318"/>
      <c r="E58" s="104"/>
      <c r="F58" s="117"/>
      <c r="G58" s="117"/>
      <c r="H58" s="329"/>
      <c r="I58" s="330"/>
      <c r="J58" s="331"/>
      <c r="K58" s="116"/>
    </row>
    <row r="59" spans="1:59" s="6" customFormat="1" ht="16.5" customHeight="1" thickBot="1" x14ac:dyDescent="0.35">
      <c r="A59" s="115"/>
      <c r="B59" s="104"/>
      <c r="C59" s="104"/>
      <c r="D59" s="104"/>
      <c r="E59" s="104"/>
      <c r="F59" s="117"/>
      <c r="G59" s="117"/>
      <c r="H59" s="104"/>
      <c r="I59" s="104"/>
      <c r="J59" s="104"/>
      <c r="K59" s="116"/>
    </row>
    <row r="60" spans="1:59" s="6" customFormat="1" ht="183.75" customHeight="1" thickBot="1" x14ac:dyDescent="0.35">
      <c r="A60" s="115"/>
      <c r="B60" s="332" t="s">
        <v>180</v>
      </c>
      <c r="C60" s="333"/>
      <c r="D60" s="334"/>
      <c r="E60" s="104"/>
      <c r="F60" s="117"/>
      <c r="G60" s="117"/>
      <c r="H60" s="335" t="s">
        <v>178</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82"/>
      <c r="D62" s="282"/>
      <c r="E62" s="9"/>
      <c r="F62" s="7"/>
      <c r="G62" s="7"/>
      <c r="H62" s="7"/>
      <c r="I62" s="7"/>
      <c r="J62" s="7"/>
      <c r="K62" s="9"/>
    </row>
    <row r="63" spans="1:59" s="6" customFormat="1" ht="13" x14ac:dyDescent="0.3">
      <c r="A63" s="9"/>
      <c r="B63" s="282"/>
      <c r="C63" s="282"/>
      <c r="D63" s="282"/>
      <c r="E63" s="9"/>
      <c r="F63" s="7"/>
      <c r="G63" s="7"/>
      <c r="H63" s="7"/>
      <c r="I63" s="7"/>
      <c r="J63" s="7"/>
      <c r="K63" s="9"/>
    </row>
    <row r="64" spans="1:59" s="6" customFormat="1" ht="17.25" customHeight="1" x14ac:dyDescent="0.3">
      <c r="A64" s="9"/>
      <c r="B64" s="158"/>
      <c r="C64" s="282"/>
      <c r="D64" s="282"/>
      <c r="E64" s="9"/>
      <c r="F64" s="7"/>
      <c r="G64" s="7"/>
      <c r="H64" s="7"/>
      <c r="I64" s="7"/>
      <c r="J64" s="7"/>
      <c r="K64" s="9"/>
    </row>
    <row r="65" spans="1:11" s="6" customFormat="1" ht="13" x14ac:dyDescent="0.3">
      <c r="A65" s="9"/>
      <c r="B65" s="282"/>
      <c r="C65" s="282"/>
      <c r="D65" s="282"/>
      <c r="E65" s="9"/>
      <c r="F65" s="7"/>
      <c r="G65" s="7"/>
      <c r="H65" s="7"/>
      <c r="I65" s="7"/>
      <c r="J65" s="7"/>
      <c r="K65" s="9"/>
    </row>
    <row r="66" spans="1:11" s="6" customFormat="1" ht="13" x14ac:dyDescent="0.3">
      <c r="A66" s="9"/>
      <c r="B66" s="282"/>
      <c r="C66" s="282"/>
      <c r="D66" s="282"/>
      <c r="E66" s="9"/>
      <c r="F66" s="7"/>
      <c r="G66" s="7"/>
      <c r="H66" s="306"/>
      <c r="I66" s="307"/>
      <c r="J66" s="307"/>
      <c r="K66" s="9"/>
    </row>
    <row r="67" spans="1:11" s="6" customFormat="1" ht="13" x14ac:dyDescent="0.3">
      <c r="A67" s="9"/>
      <c r="B67" s="282"/>
      <c r="C67" s="282"/>
      <c r="D67" s="282"/>
      <c r="E67" s="9"/>
      <c r="F67" s="7"/>
      <c r="G67" s="7"/>
      <c r="H67" s="307"/>
      <c r="I67" s="307"/>
      <c r="J67" s="307"/>
      <c r="K67" s="9"/>
    </row>
    <row r="68" spans="1:11" s="6" customFormat="1" x14ac:dyDescent="0.25">
      <c r="A68" s="8"/>
      <c r="B68" s="282"/>
      <c r="C68" s="282"/>
      <c r="D68" s="282"/>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formatCells="0" formatColumns="0" formatRows="0" insertColumns="0" insertRows="0" insertHyperlinks="0" deleteColumns="0" deleteRows="0" sort="0" autoFilter="0" pivotTables="0"/>
  <mergeCells count="14">
    <mergeCell ref="H66:J82"/>
    <mergeCell ref="B41:B42"/>
    <mergeCell ref="B51:D58"/>
    <mergeCell ref="H53:I53"/>
    <mergeCell ref="H54:I54"/>
    <mergeCell ref="H56:J58"/>
    <mergeCell ref="B60:D60"/>
    <mergeCell ref="H60:J60"/>
    <mergeCell ref="B40:D40"/>
    <mergeCell ref="B2:J2"/>
    <mergeCell ref="B5:B6"/>
    <mergeCell ref="C5:C6"/>
    <mergeCell ref="D5:D6"/>
    <mergeCell ref="D19:D38"/>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BG265"/>
  <sheetViews>
    <sheetView zoomScaleNormal="100" workbookViewId="0">
      <selection activeCell="C1" sqref="C1"/>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3.75" customHeight="1" thickBot="1" x14ac:dyDescent="0.3">
      <c r="A2" s="107"/>
      <c r="B2" s="292" t="s">
        <v>144</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296" t="s">
        <v>3</v>
      </c>
      <c r="C5" s="298" t="s">
        <v>4</v>
      </c>
      <c r="D5" s="300"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297"/>
      <c r="C6" s="299"/>
      <c r="D6" s="301"/>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v>0</v>
      </c>
      <c r="D7" s="21"/>
      <c r="E7" s="103"/>
      <c r="F7" s="42"/>
      <c r="G7" s="112"/>
      <c r="H7" s="80" t="s">
        <v>43</v>
      </c>
      <c r="I7" s="79" t="s">
        <v>52</v>
      </c>
      <c r="J7" s="25">
        <f>PRODUCT($C$10,5.13)</f>
        <v>0</v>
      </c>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v>0</v>
      </c>
      <c r="D8" s="22"/>
      <c r="E8" s="103"/>
      <c r="F8" s="42"/>
      <c r="G8" s="112"/>
      <c r="H8" s="82" t="s">
        <v>44</v>
      </c>
      <c r="I8" s="36" t="s">
        <v>53</v>
      </c>
      <c r="J8" s="26">
        <v>250</v>
      </c>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v>0</v>
      </c>
      <c r="D9" s="22"/>
      <c r="E9" s="103"/>
      <c r="F9" s="42"/>
      <c r="G9" s="112"/>
      <c r="H9" s="83" t="s">
        <v>45</v>
      </c>
      <c r="I9" s="51"/>
      <c r="J9" s="73">
        <f>IF(J7&lt;250.01,0,SUM(J7,-J8))</f>
        <v>0</v>
      </c>
      <c r="K9" s="114"/>
      <c r="L9" s="105">
        <f>IF(C13&gt;19.5,19.5,C13)</f>
        <v>18.7</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0</v>
      </c>
      <c r="D10" s="23"/>
      <c r="E10" s="103"/>
      <c r="F10" s="42"/>
      <c r="G10" s="112"/>
      <c r="H10" s="80" t="s">
        <v>46</v>
      </c>
      <c r="I10" s="79"/>
      <c r="J10" s="25">
        <f>IF($C$10&lt;48.732943,PRODUCT($C$10,20.5),(PRODUCT($C$10,20.5)-J9))</f>
        <v>0</v>
      </c>
      <c r="K10" s="114"/>
      <c r="L10" s="105">
        <f>IF(C16&gt;25.9,25.9,C16)</f>
        <v>24.8</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v>0</v>
      </c>
      <c r="D11" s="61">
        <f>(C11*D13)/(C13)</f>
        <v>0</v>
      </c>
      <c r="E11" s="103"/>
      <c r="F11" s="42"/>
      <c r="G11" s="112"/>
      <c r="H11" s="27" t="s">
        <v>60</v>
      </c>
      <c r="I11" s="28"/>
      <c r="J11" s="29">
        <f>IF(J10&lt;1000,0,SUM(J10,-1000))</f>
        <v>0</v>
      </c>
      <c r="K11" s="114"/>
      <c r="L11" s="105">
        <f>IF(C17&gt;16.15,16.15,C17)</f>
        <v>15.45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88" t="s">
        <v>145</v>
      </c>
      <c r="C13" s="60">
        <v>18.7</v>
      </c>
      <c r="D13" s="63">
        <f>L9</f>
        <v>18.7</v>
      </c>
      <c r="E13" s="103"/>
      <c r="F13" s="42"/>
      <c r="G13" s="112"/>
      <c r="H13" s="30" t="s">
        <v>11</v>
      </c>
      <c r="I13" s="31"/>
      <c r="J13" s="32">
        <f>J11-D18</f>
        <v>0</v>
      </c>
      <c r="K13" s="114"/>
      <c r="L13" s="105">
        <f>J11*0.9</f>
        <v>0</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v>0</v>
      </c>
      <c r="D14" s="62">
        <f>(C14*D17)/(C17)</f>
        <v>0</v>
      </c>
      <c r="E14" s="103"/>
      <c r="F14" s="42"/>
      <c r="G14" s="112"/>
      <c r="H14" s="50" t="s">
        <v>122</v>
      </c>
      <c r="I14" s="51"/>
      <c r="J14" s="73">
        <f>IF(L15&lt;0,0,L15)</f>
        <v>0</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4">
        <v>0</v>
      </c>
      <c r="D15" s="62">
        <f>(C15*D16)/(C16)</f>
        <v>0</v>
      </c>
      <c r="E15" s="103"/>
      <c r="F15" s="42"/>
      <c r="G15" s="112"/>
      <c r="H15" s="74" t="s">
        <v>1</v>
      </c>
      <c r="I15" s="75"/>
      <c r="J15" s="34">
        <f>(C10*20.5)-J9-J14</f>
        <v>0</v>
      </c>
      <c r="K15" s="114"/>
      <c r="L15" s="105">
        <f>J13*0.9</f>
        <v>0</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88" t="s">
        <v>146</v>
      </c>
      <c r="C16" s="93">
        <v>24.8</v>
      </c>
      <c r="D16" s="63">
        <f>L10</f>
        <v>24.8</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88" t="s">
        <v>147</v>
      </c>
      <c r="C17" s="65">
        <v>15.45</v>
      </c>
      <c r="D17" s="64">
        <f>L11</f>
        <v>15.45</v>
      </c>
      <c r="E17" s="103"/>
      <c r="F17" s="42"/>
      <c r="G17" s="112"/>
      <c r="H17" s="52" t="s">
        <v>30</v>
      </c>
      <c r="I17" s="53"/>
      <c r="J17" s="73">
        <f>C8*20.5</f>
        <v>0</v>
      </c>
      <c r="K17" s="114"/>
      <c r="L17" s="105">
        <f>IF(L15&lt;L13,L15,L13)</f>
        <v>0</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138" t="s">
        <v>36</v>
      </c>
      <c r="C19" s="148">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149">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150">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100</v>
      </c>
      <c r="C22" s="150">
        <v>0</v>
      </c>
      <c r="D22" s="303"/>
      <c r="E22" s="103"/>
      <c r="F22" s="42"/>
      <c r="G22" s="112"/>
      <c r="H22" s="165"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66</v>
      </c>
      <c r="C23" s="151">
        <v>0</v>
      </c>
      <c r="D23" s="303"/>
      <c r="E23" s="103"/>
      <c r="F23" s="42"/>
      <c r="G23" s="112"/>
      <c r="H23" s="82"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138" t="s">
        <v>137</v>
      </c>
      <c r="C24" s="176">
        <v>0</v>
      </c>
      <c r="D24" s="303"/>
      <c r="E24" s="103"/>
      <c r="F24" s="42"/>
      <c r="G24" s="112"/>
      <c r="H24" s="82"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56" t="s">
        <v>125</v>
      </c>
      <c r="C25" s="243">
        <v>0</v>
      </c>
      <c r="D25" s="303"/>
      <c r="E25" s="103"/>
      <c r="F25" s="42"/>
      <c r="G25" s="112"/>
      <c r="H25" s="82" t="s">
        <v>67</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2" t="s">
        <v>82</v>
      </c>
      <c r="C26" s="260">
        <v>0</v>
      </c>
      <c r="D26" s="303"/>
      <c r="E26" s="103"/>
      <c r="F26" s="42"/>
      <c r="G26" s="112"/>
      <c r="H26" s="82" t="s">
        <v>68</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38" t="s">
        <v>8</v>
      </c>
      <c r="C27" s="2">
        <v>0</v>
      </c>
      <c r="D27" s="303"/>
      <c r="E27" s="103"/>
      <c r="F27" s="42"/>
      <c r="G27" s="112"/>
      <c r="H27" s="82" t="s">
        <v>71</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39" t="s">
        <v>18</v>
      </c>
      <c r="C28" s="188">
        <v>0</v>
      </c>
      <c r="D28" s="303"/>
      <c r="E28" s="103"/>
      <c r="F28" s="42"/>
      <c r="G28" s="112"/>
      <c r="H28" s="82" t="s">
        <v>133</v>
      </c>
      <c r="I28" s="36" t="s">
        <v>123</v>
      </c>
      <c r="J28" s="168">
        <f>PRODUCT(C25,10)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v>0</v>
      </c>
      <c r="D29" s="303"/>
      <c r="E29" s="103"/>
      <c r="F29" s="42"/>
      <c r="G29" s="112"/>
      <c r="H29" s="82" t="s">
        <v>134</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100</v>
      </c>
      <c r="C30" s="154">
        <v>0</v>
      </c>
      <c r="D30" s="303"/>
      <c r="E30" s="103"/>
      <c r="F30" s="42"/>
      <c r="G30" s="112"/>
      <c r="H30" s="166"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1" t="s">
        <v>81</v>
      </c>
      <c r="C31" s="154">
        <v>0</v>
      </c>
      <c r="D31" s="303"/>
      <c r="E31" s="103"/>
      <c r="F31" s="42"/>
      <c r="G31" s="112"/>
      <c r="H31" s="82" t="s">
        <v>22</v>
      </c>
      <c r="I31" s="171" t="s">
        <v>34</v>
      </c>
      <c r="J31" s="168">
        <f>PRODUCT(C28,5.5)</f>
        <v>0</v>
      </c>
      <c r="K31" s="111"/>
      <c r="L31" s="105"/>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3" t="s">
        <v>82</v>
      </c>
      <c r="C32" s="155">
        <v>0</v>
      </c>
      <c r="D32" s="303"/>
      <c r="E32" s="103"/>
      <c r="F32" s="42"/>
      <c r="G32" s="112"/>
      <c r="H32" s="82"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38" t="s">
        <v>9</v>
      </c>
      <c r="C33" s="190">
        <v>0</v>
      </c>
      <c r="D33" s="304"/>
      <c r="E33" s="103"/>
      <c r="F33" s="42"/>
      <c r="G33" s="112"/>
      <c r="H33" s="82" t="s">
        <v>72</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9">
        <v>0</v>
      </c>
      <c r="D34" s="304"/>
      <c r="E34" s="103"/>
      <c r="F34" s="42"/>
      <c r="G34" s="112"/>
      <c r="H34" s="82" t="s">
        <v>78</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2">
        <v>0</v>
      </c>
      <c r="D35" s="304"/>
      <c r="E35" s="103"/>
      <c r="F35" s="42"/>
      <c r="G35" s="112"/>
      <c r="H35" s="82" t="s">
        <v>79</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100</v>
      </c>
      <c r="C36" s="152">
        <v>0</v>
      </c>
      <c r="D36" s="304"/>
      <c r="E36" s="103"/>
      <c r="F36" s="10"/>
      <c r="G36" s="10"/>
      <c r="H36" s="166"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85</v>
      </c>
      <c r="C37" s="152">
        <v>0</v>
      </c>
      <c r="D37" s="304"/>
      <c r="E37" s="103"/>
      <c r="F37" s="42"/>
      <c r="G37" s="112"/>
      <c r="H37" s="82"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3" t="s">
        <v>82</v>
      </c>
      <c r="C38" s="153">
        <v>0</v>
      </c>
      <c r="D38" s="305"/>
      <c r="E38" s="103"/>
      <c r="F38" s="42"/>
      <c r="G38" s="112"/>
      <c r="H38" s="82"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09"/>
      <c r="B39" s="118"/>
      <c r="C39" s="118"/>
      <c r="D39" s="118"/>
      <c r="E39" s="103"/>
      <c r="F39" s="42"/>
      <c r="G39" s="112"/>
      <c r="H39" s="82" t="s">
        <v>74</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09"/>
      <c r="B40" s="289" t="s">
        <v>119</v>
      </c>
      <c r="C40" s="290"/>
      <c r="D40" s="291"/>
      <c r="E40" s="103"/>
      <c r="F40" s="42"/>
      <c r="G40" s="112"/>
      <c r="H40" s="82" t="s">
        <v>75</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7" customHeight="1" thickBot="1" x14ac:dyDescent="0.3">
      <c r="A41" s="109"/>
      <c r="B41" s="308" t="s">
        <v>120</v>
      </c>
      <c r="C41" s="259" t="s">
        <v>4</v>
      </c>
      <c r="D41" s="258"/>
      <c r="E41" s="103"/>
      <c r="F41" s="10"/>
      <c r="G41" s="10"/>
      <c r="H41" s="82" t="s">
        <v>76</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1" customHeight="1" thickBot="1" x14ac:dyDescent="0.35">
      <c r="A42" s="109"/>
      <c r="B42" s="309"/>
      <c r="C42" s="250">
        <f>SUM(C47:C49)</f>
        <v>0</v>
      </c>
      <c r="D42" s="257" t="s">
        <v>114</v>
      </c>
      <c r="E42" s="103"/>
      <c r="F42" s="42"/>
      <c r="G42" s="42"/>
      <c r="H42" s="167" t="s">
        <v>5</v>
      </c>
      <c r="I42" s="172"/>
      <c r="J42" s="170">
        <v>-250</v>
      </c>
      <c r="K42" s="111"/>
      <c r="L42" s="270">
        <v>51</v>
      </c>
      <c r="M42" s="270">
        <v>53</v>
      </c>
      <c r="N42" s="270">
        <v>54</v>
      </c>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175" t="s">
        <v>86</v>
      </c>
      <c r="I43" s="163"/>
      <c r="J43" s="164">
        <f>IF(SUM(J22,J30,J36)&gt;250,SUM(J22:J42),SUM(J23:J29,J31:J35,J37:J41))</f>
        <v>0</v>
      </c>
      <c r="K43" s="111"/>
      <c r="L43" s="271">
        <f>SUM(J23,J31,J37)</f>
        <v>0</v>
      </c>
      <c r="M43" s="271">
        <f>SUM(J24:J29,J32:J35,J38:J41)</f>
        <v>0</v>
      </c>
      <c r="N43" s="271">
        <f>SUM(J22,J30,J36,J42)</f>
        <v>-250</v>
      </c>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91"/>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87"/>
      <c r="BG46" s="87"/>
    </row>
    <row r="47" spans="1:59" s="6" customFormat="1" ht="20.25" customHeight="1" thickBot="1" x14ac:dyDescent="0.35">
      <c r="A47" s="115"/>
      <c r="B47" s="156" t="s">
        <v>110</v>
      </c>
      <c r="C47" s="243">
        <v>0</v>
      </c>
      <c r="D47" s="240"/>
      <c r="E47" s="104"/>
      <c r="F47" s="5"/>
      <c r="G47" s="5"/>
      <c r="H47" s="33" t="s">
        <v>47</v>
      </c>
      <c r="I47" s="39"/>
      <c r="J47" s="40">
        <f>IF(SUM(PRODUCT(SUM(C19,-C20,-C21,-C22,-C23),5.11),PRODUCT(SUM(C27,-C28,-C29,-C30,-C31,-C32),2.28),PRODUCT(SUM(C33,-C34,-C35,-C36,-C37,-C38),19.89),-750)&lt;0,0,SUM(PRODUCT(SUM(C19,-C20,-C21,-C22,-C23),5.11),PRODUCT(SUM(C27,-C28,-C29,-C30,-C31,-C32),2.28),PRODUCT(SUM(C33,-C34,-C35,-C36,-C37,-C38),19.89),-750))</f>
        <v>0</v>
      </c>
      <c r="K47" s="116"/>
      <c r="L47" s="193">
        <f>J47*0.9</f>
        <v>0</v>
      </c>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05"/>
      <c r="BG47" s="87"/>
    </row>
    <row r="48" spans="1:59" s="6" customFormat="1" ht="23.25" customHeight="1" thickBot="1" x14ac:dyDescent="0.4">
      <c r="A48" s="115"/>
      <c r="B48" s="140" t="s">
        <v>111</v>
      </c>
      <c r="C48" s="244">
        <v>0</v>
      </c>
      <c r="D48" s="239"/>
      <c r="E48" s="118"/>
      <c r="F48" s="5"/>
      <c r="G48" s="5"/>
      <c r="H48" s="85" t="s">
        <v>121</v>
      </c>
      <c r="I48" s="69"/>
      <c r="J48" s="73">
        <f>IF(L48&gt;L47,IF(L47&lt;0,0,L47),IF(L48&lt;0,0,L48))</f>
        <v>0</v>
      </c>
      <c r="K48" s="116"/>
      <c r="L48" s="193">
        <f>SUM((J11+J47)-D18)*0.9</f>
        <v>0</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89"/>
      <c r="BG48" s="89"/>
    </row>
    <row r="49" spans="1:59" s="6" customFormat="1" ht="20.25" customHeight="1" thickBot="1" x14ac:dyDescent="0.35">
      <c r="A49" s="115"/>
      <c r="B49" s="143" t="s">
        <v>112</v>
      </c>
      <c r="C49" s="245">
        <v>0</v>
      </c>
      <c r="D49" s="241"/>
      <c r="E49" s="118"/>
      <c r="F49" s="5"/>
      <c r="G49" s="5"/>
      <c r="H49" s="103"/>
      <c r="I49" s="103"/>
      <c r="J49" s="111"/>
      <c r="K49" s="116"/>
      <c r="L49" s="194"/>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89"/>
      <c r="BG49" s="89"/>
    </row>
    <row r="50" spans="1:59" s="6" customFormat="1" ht="18.75" customHeight="1" thickBot="1" x14ac:dyDescent="0.4">
      <c r="A50" s="109"/>
      <c r="B50" s="118"/>
      <c r="C50" s="118"/>
      <c r="D50" s="118"/>
      <c r="E50" s="118"/>
      <c r="F50" s="117"/>
      <c r="G50" s="117"/>
      <c r="H50" s="236" t="s">
        <v>115</v>
      </c>
      <c r="I50" s="237"/>
      <c r="J50" s="73">
        <f>IF(SUM(C47*(669.8-61.35),C48*(654.5-61.35),C49*(721-61.35))&lt;50,0,SUM(C47*(669.8-61.35),C48*(654.5-61.35),C49*(721-61.35)))</f>
        <v>0</v>
      </c>
      <c r="K50" s="116"/>
      <c r="L50" s="194"/>
      <c r="M50" s="194"/>
      <c r="N50" s="194"/>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row>
    <row r="51" spans="1:59" s="6" customFormat="1" ht="24" customHeight="1" thickBot="1" x14ac:dyDescent="0.35">
      <c r="A51" s="115"/>
      <c r="B51" s="310" t="s">
        <v>117</v>
      </c>
      <c r="C51" s="311"/>
      <c r="D51" s="312"/>
      <c r="E51" s="104"/>
      <c r="F51" s="117"/>
      <c r="G51" s="117"/>
      <c r="H51" s="118"/>
      <c r="I51" s="118"/>
      <c r="J51" s="118"/>
      <c r="K51" s="116"/>
    </row>
    <row r="52" spans="1:59" s="6" customFormat="1" ht="18.75" customHeight="1" thickBot="1" x14ac:dyDescent="0.4">
      <c r="A52" s="115"/>
      <c r="B52" s="313"/>
      <c r="C52" s="314"/>
      <c r="D52" s="315"/>
      <c r="E52" s="104"/>
      <c r="F52" s="117"/>
      <c r="G52" s="117"/>
      <c r="H52" s="183" t="s">
        <v>31</v>
      </c>
      <c r="I52" s="144"/>
      <c r="J52" s="198">
        <f>SUM(J9,J14,J17,J18,J43,J48,J50)</f>
        <v>0</v>
      </c>
      <c r="K52" s="116"/>
    </row>
    <row r="53" spans="1:59" s="6" customFormat="1" ht="19.5" customHeight="1" x14ac:dyDescent="0.3">
      <c r="A53" s="115"/>
      <c r="B53" s="313"/>
      <c r="C53" s="314"/>
      <c r="D53" s="315"/>
      <c r="E53" s="104"/>
      <c r="F53" s="117"/>
      <c r="G53" s="117"/>
      <c r="H53" s="319" t="s">
        <v>171</v>
      </c>
      <c r="I53" s="320"/>
      <c r="J53" s="135">
        <f>SUM(C7*20.5,C19*20.45,C24*25,C27*3.66,C33*35.04)</f>
        <v>0</v>
      </c>
      <c r="K53" s="116"/>
    </row>
    <row r="54" spans="1:59" s="6" customFormat="1" ht="19.5" customHeight="1" thickBot="1" x14ac:dyDescent="0.35">
      <c r="A54" s="115"/>
      <c r="B54" s="313"/>
      <c r="C54" s="314"/>
      <c r="D54" s="315"/>
      <c r="E54" s="104"/>
      <c r="F54" s="117"/>
      <c r="G54" s="117"/>
      <c r="H54" s="321" t="s">
        <v>51</v>
      </c>
      <c r="I54" s="322"/>
      <c r="J54" s="91">
        <f>J53-J52+J50</f>
        <v>0</v>
      </c>
      <c r="K54" s="116"/>
    </row>
    <row r="55" spans="1:59" s="6" customFormat="1" ht="21" customHeight="1" thickBot="1" x14ac:dyDescent="0.35">
      <c r="A55" s="115"/>
      <c r="B55" s="313"/>
      <c r="C55" s="314"/>
      <c r="D55" s="315"/>
      <c r="E55" s="104"/>
      <c r="F55" s="117"/>
      <c r="G55" s="117"/>
      <c r="H55" s="104"/>
      <c r="I55" s="104"/>
      <c r="J55" s="104"/>
      <c r="K55" s="116"/>
    </row>
    <row r="56" spans="1:59" s="6" customFormat="1" ht="24.75" customHeight="1" x14ac:dyDescent="0.3">
      <c r="A56" s="115"/>
      <c r="B56" s="313"/>
      <c r="C56" s="314"/>
      <c r="D56" s="315"/>
      <c r="E56" s="104"/>
      <c r="F56" s="104"/>
      <c r="G56" s="104"/>
      <c r="H56" s="323" t="s">
        <v>83</v>
      </c>
      <c r="I56" s="324"/>
      <c r="J56" s="325"/>
      <c r="K56" s="116"/>
    </row>
    <row r="57" spans="1:59" s="6" customFormat="1" ht="24.75" customHeight="1" x14ac:dyDescent="0.3">
      <c r="A57" s="115"/>
      <c r="B57" s="313"/>
      <c r="C57" s="314"/>
      <c r="D57" s="315"/>
      <c r="E57" s="104"/>
      <c r="F57" s="104"/>
      <c r="G57" s="104"/>
      <c r="H57" s="326"/>
      <c r="I57" s="327"/>
      <c r="J57" s="328"/>
      <c r="K57" s="116"/>
    </row>
    <row r="58" spans="1:59" s="6" customFormat="1" ht="24" customHeight="1" thickBot="1" x14ac:dyDescent="0.35">
      <c r="A58" s="115"/>
      <c r="B58" s="316"/>
      <c r="C58" s="317"/>
      <c r="D58" s="318"/>
      <c r="E58" s="104"/>
      <c r="F58" s="117"/>
      <c r="G58" s="117"/>
      <c r="H58" s="329"/>
      <c r="I58" s="330"/>
      <c r="J58" s="331"/>
      <c r="K58" s="116"/>
    </row>
    <row r="59" spans="1:59" s="6" customFormat="1" ht="16.5" customHeight="1" thickBot="1" x14ac:dyDescent="0.35">
      <c r="A59" s="115"/>
      <c r="B59" s="104"/>
      <c r="C59" s="104"/>
      <c r="D59" s="104"/>
      <c r="E59" s="104"/>
      <c r="F59" s="117"/>
      <c r="G59" s="117"/>
      <c r="H59" s="104"/>
      <c r="I59" s="104"/>
      <c r="J59" s="104"/>
      <c r="K59" s="116"/>
    </row>
    <row r="60" spans="1:59" s="6" customFormat="1" ht="174" customHeight="1" thickBot="1" x14ac:dyDescent="0.35">
      <c r="A60" s="115"/>
      <c r="B60" s="332" t="s">
        <v>151</v>
      </c>
      <c r="C60" s="333"/>
      <c r="D60" s="334"/>
      <c r="E60" s="104"/>
      <c r="F60" s="117"/>
      <c r="G60" s="117"/>
      <c r="H60" s="335" t="s">
        <v>152</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64"/>
      <c r="D62" s="264"/>
      <c r="E62" s="9"/>
      <c r="F62" s="7"/>
      <c r="G62" s="7"/>
      <c r="H62" s="7"/>
      <c r="I62" s="7"/>
      <c r="J62" s="7"/>
      <c r="K62" s="9"/>
    </row>
    <row r="63" spans="1:59" s="6" customFormat="1" ht="13" x14ac:dyDescent="0.3">
      <c r="A63" s="9"/>
      <c r="B63" s="264"/>
      <c r="C63" s="264"/>
      <c r="D63" s="264"/>
      <c r="E63" s="9"/>
      <c r="F63" s="7"/>
      <c r="G63" s="7"/>
      <c r="H63" s="7"/>
      <c r="I63" s="7"/>
      <c r="J63" s="7"/>
      <c r="K63" s="9"/>
    </row>
    <row r="64" spans="1:59" s="6" customFormat="1" ht="17.25" customHeight="1" x14ac:dyDescent="0.3">
      <c r="A64" s="9"/>
      <c r="B64" s="158"/>
      <c r="C64" s="264"/>
      <c r="D64" s="264"/>
      <c r="E64" s="9"/>
      <c r="F64" s="7"/>
      <c r="G64" s="7"/>
      <c r="H64" s="7"/>
      <c r="I64" s="7"/>
      <c r="J64" s="7"/>
      <c r="K64" s="9"/>
    </row>
    <row r="65" spans="1:11" s="6" customFormat="1" ht="13" x14ac:dyDescent="0.3">
      <c r="A65" s="9"/>
      <c r="B65" s="264"/>
      <c r="C65" s="264"/>
      <c r="D65" s="264"/>
      <c r="E65" s="9"/>
      <c r="F65" s="7"/>
      <c r="G65" s="7"/>
      <c r="H65" s="7"/>
      <c r="I65" s="7"/>
      <c r="J65" s="7"/>
      <c r="K65" s="9"/>
    </row>
    <row r="66" spans="1:11" s="6" customFormat="1" ht="13" x14ac:dyDescent="0.3">
      <c r="A66" s="9"/>
      <c r="B66" s="264"/>
      <c r="C66" s="264"/>
      <c r="D66" s="264"/>
      <c r="E66" s="9"/>
      <c r="F66" s="7"/>
      <c r="G66" s="7"/>
      <c r="H66" s="306"/>
      <c r="I66" s="307"/>
      <c r="J66" s="307"/>
      <c r="K66" s="9"/>
    </row>
    <row r="67" spans="1:11" s="6" customFormat="1" ht="13" x14ac:dyDescent="0.3">
      <c r="A67" s="9"/>
      <c r="B67" s="264"/>
      <c r="C67" s="264"/>
      <c r="D67" s="264"/>
      <c r="E67" s="9"/>
      <c r="F67" s="7"/>
      <c r="G67" s="7"/>
      <c r="H67" s="307"/>
      <c r="I67" s="307"/>
      <c r="J67" s="307"/>
      <c r="K67" s="9"/>
    </row>
    <row r="68" spans="1:11" s="6" customFormat="1" x14ac:dyDescent="0.25">
      <c r="A68" s="8"/>
      <c r="B68" s="264"/>
      <c r="C68" s="264"/>
      <c r="D68" s="264"/>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password="C6AA" sheet="1" formatCells="0" formatColumns="0" formatRows="0" insertColumns="0" insertRows="0" insertHyperlinks="0" deleteColumns="0" deleteRows="0" sort="0" autoFilter="0" pivotTables="0"/>
  <mergeCells count="14">
    <mergeCell ref="H66:J82"/>
    <mergeCell ref="B2:J2"/>
    <mergeCell ref="D19:D38"/>
    <mergeCell ref="B40:D40"/>
    <mergeCell ref="B41:B42"/>
    <mergeCell ref="B51:D58"/>
    <mergeCell ref="H53:I53"/>
    <mergeCell ref="H54:I54"/>
    <mergeCell ref="B5:B6"/>
    <mergeCell ref="C5:C6"/>
    <mergeCell ref="D5:D6"/>
    <mergeCell ref="H56:J58"/>
    <mergeCell ref="B60:D60"/>
    <mergeCell ref="H60:J60"/>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sheetPr>
  <dimension ref="A1:BG265"/>
  <sheetViews>
    <sheetView workbookViewId="0">
      <selection activeCell="C7" sqref="C7"/>
    </sheetView>
  </sheetViews>
  <sheetFormatPr baseColWidth="10" defaultRowHeight="12.5" x14ac:dyDescent="0.25"/>
  <cols>
    <col min="1" max="1" width="2.1796875" style="8" customWidth="1"/>
    <col min="2" max="2" width="76" customWidth="1"/>
    <col min="3" max="3" width="18.1796875" customWidth="1"/>
    <col min="4" max="4" width="15.81640625" customWidth="1"/>
    <col min="5" max="5" width="2.81640625" style="8" customWidth="1"/>
    <col min="6" max="6" width="11.453125" hidden="1" customWidth="1"/>
    <col min="7" max="7" width="0.26953125" customWidth="1"/>
    <col min="8" max="8" width="87.26953125" customWidth="1"/>
    <col min="9" max="9" width="30.453125" customWidth="1"/>
    <col min="10" max="10" width="19.7265625" customWidth="1"/>
    <col min="11" max="11" width="3.1796875" style="8" customWidth="1"/>
  </cols>
  <sheetData>
    <row r="1" spans="1:59" ht="58.5" customHeight="1" thickBot="1" x14ac:dyDescent="0.45">
      <c r="A1" s="123"/>
      <c r="B1" s="124"/>
      <c r="C1" s="125"/>
      <c r="D1" s="125"/>
      <c r="E1" s="125"/>
      <c r="F1" s="125"/>
      <c r="G1" s="125"/>
      <c r="H1" s="125"/>
      <c r="I1" s="133"/>
      <c r="J1" s="133"/>
      <c r="K1" s="134"/>
      <c r="L1" s="105"/>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64.5" customHeight="1" thickBot="1" x14ac:dyDescent="0.3">
      <c r="A2" s="107"/>
      <c r="B2" s="292" t="s">
        <v>144</v>
      </c>
      <c r="C2" s="293"/>
      <c r="D2" s="293"/>
      <c r="E2" s="294"/>
      <c r="F2" s="294"/>
      <c r="G2" s="294"/>
      <c r="H2" s="294"/>
      <c r="I2" s="294"/>
      <c r="J2" s="295"/>
      <c r="K2" s="108"/>
      <c r="L2" s="105"/>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row>
    <row r="3" spans="1:59" ht="18" x14ac:dyDescent="0.4">
      <c r="A3" s="109"/>
      <c r="B3" s="94" t="s">
        <v>2</v>
      </c>
      <c r="C3" s="95"/>
      <c r="D3" s="96"/>
      <c r="E3" s="103"/>
      <c r="F3" s="42"/>
      <c r="G3" s="110"/>
      <c r="H3" s="97" t="s">
        <v>32</v>
      </c>
      <c r="I3" s="98"/>
      <c r="J3" s="99"/>
      <c r="K3" s="111"/>
      <c r="L3" s="105"/>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spans="1:59" ht="35.25" customHeight="1" thickBot="1" x14ac:dyDescent="0.45">
      <c r="A4" s="109"/>
      <c r="B4" s="11" t="s">
        <v>13</v>
      </c>
      <c r="C4" s="12"/>
      <c r="D4" s="13"/>
      <c r="E4" s="103"/>
      <c r="F4" s="42"/>
      <c r="G4" s="110"/>
      <c r="H4" s="47"/>
      <c r="I4" s="48"/>
      <c r="J4" s="49"/>
      <c r="K4" s="111"/>
      <c r="L4" s="105"/>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row>
    <row r="5" spans="1:59" ht="17.25" customHeight="1" thickBot="1" x14ac:dyDescent="0.4">
      <c r="A5" s="109"/>
      <c r="B5" s="296" t="s">
        <v>3</v>
      </c>
      <c r="C5" s="298" t="s">
        <v>4</v>
      </c>
      <c r="D5" s="300" t="s">
        <v>16</v>
      </c>
      <c r="E5" s="103"/>
      <c r="F5" s="42"/>
      <c r="G5" s="112"/>
      <c r="H5" s="41" t="s">
        <v>17</v>
      </c>
      <c r="I5" s="42"/>
      <c r="J5" s="43"/>
      <c r="K5" s="111"/>
      <c r="L5" s="105"/>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20.25" customHeight="1" thickBot="1" x14ac:dyDescent="0.35">
      <c r="A6" s="109"/>
      <c r="B6" s="297"/>
      <c r="C6" s="299"/>
      <c r="D6" s="301"/>
      <c r="E6" s="103"/>
      <c r="F6" s="42"/>
      <c r="G6" s="113"/>
      <c r="H6" s="44" t="s">
        <v>3</v>
      </c>
      <c r="I6" s="45" t="s">
        <v>7</v>
      </c>
      <c r="J6" s="46" t="s">
        <v>6</v>
      </c>
      <c r="K6" s="111"/>
      <c r="L6" s="105"/>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row>
    <row r="7" spans="1:59" ht="19.5" customHeight="1" thickBot="1" x14ac:dyDescent="0.35">
      <c r="A7" s="109"/>
      <c r="B7" s="18" t="s">
        <v>10</v>
      </c>
      <c r="C7" s="2">
        <v>0</v>
      </c>
      <c r="D7" s="21"/>
      <c r="E7" s="103"/>
      <c r="F7" s="42"/>
      <c r="G7" s="112"/>
      <c r="H7" s="82"/>
      <c r="I7" s="79"/>
      <c r="J7" s="25"/>
      <c r="K7" s="111"/>
      <c r="L7" s="105"/>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row>
    <row r="8" spans="1:59" ht="19.5" customHeight="1" thickBot="1" x14ac:dyDescent="0.35">
      <c r="A8" s="109"/>
      <c r="B8" s="19" t="s">
        <v>29</v>
      </c>
      <c r="C8" s="1">
        <v>0</v>
      </c>
      <c r="D8" s="22"/>
      <c r="E8" s="103"/>
      <c r="F8" s="42"/>
      <c r="G8" s="112"/>
      <c r="H8" s="82" t="s">
        <v>58</v>
      </c>
      <c r="I8" s="36"/>
      <c r="J8" s="26"/>
      <c r="K8" s="111"/>
      <c r="L8" s="105" t="s">
        <v>15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row>
    <row r="9" spans="1:59" ht="19.5" customHeight="1" thickBot="1" x14ac:dyDescent="0.4">
      <c r="A9" s="109"/>
      <c r="B9" s="19" t="s">
        <v>87</v>
      </c>
      <c r="C9" s="1">
        <v>0</v>
      </c>
      <c r="D9" s="22"/>
      <c r="E9" s="103"/>
      <c r="F9" s="42"/>
      <c r="G9" s="112"/>
      <c r="H9" s="83" t="s">
        <v>45</v>
      </c>
      <c r="I9" s="51"/>
      <c r="J9" s="73">
        <f>PRODUCT($C$10,5.13)</f>
        <v>0</v>
      </c>
      <c r="K9" s="114"/>
      <c r="L9" s="105">
        <f>IF(C13&gt;19.5,19.5,C13)</f>
        <v>18.7</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row>
    <row r="10" spans="1:59" ht="19.5" customHeight="1" thickBot="1" x14ac:dyDescent="0.35">
      <c r="A10" s="109"/>
      <c r="B10" s="81" t="s">
        <v>50</v>
      </c>
      <c r="C10" s="20">
        <f>C7-C8-C9</f>
        <v>0</v>
      </c>
      <c r="D10" s="23"/>
      <c r="E10" s="103"/>
      <c r="F10" s="42"/>
      <c r="G10" s="112"/>
      <c r="H10" s="82" t="s">
        <v>59</v>
      </c>
      <c r="I10" s="79"/>
      <c r="J10" s="25"/>
      <c r="K10" s="114"/>
      <c r="L10" s="105">
        <f>IF(C16&gt;25.9,25.9,C16)</f>
        <v>24.8</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row>
    <row r="11" spans="1:59" ht="19.5" customHeight="1" thickBot="1" x14ac:dyDescent="0.35">
      <c r="A11" s="109"/>
      <c r="B11" s="57" t="s">
        <v>37</v>
      </c>
      <c r="C11" s="3">
        <v>0</v>
      </c>
      <c r="D11" s="61">
        <f>(C11*D13)/(C13)</f>
        <v>0</v>
      </c>
      <c r="E11" s="103"/>
      <c r="F11" s="42"/>
      <c r="G11" s="112"/>
      <c r="H11" s="80" t="s">
        <v>46</v>
      </c>
      <c r="I11" s="79"/>
      <c r="J11" s="25">
        <f>PRODUCT($C$10,20.5)-J9</f>
        <v>0</v>
      </c>
      <c r="K11" s="114"/>
      <c r="L11" s="105">
        <f>IF(C17&gt;16.15,16.15,C17)</f>
        <v>15.45</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row>
    <row r="12" spans="1:59" ht="19.5" customHeight="1" thickBot="1" x14ac:dyDescent="0.35">
      <c r="A12" s="109"/>
      <c r="B12" s="58" t="s">
        <v>38</v>
      </c>
      <c r="C12" s="3">
        <v>0</v>
      </c>
      <c r="D12" s="62">
        <f>(C12*D13)/(C13)</f>
        <v>0</v>
      </c>
      <c r="E12" s="103"/>
      <c r="F12" s="42"/>
      <c r="G12" s="112"/>
      <c r="H12" s="76" t="s">
        <v>12</v>
      </c>
      <c r="I12" s="77"/>
      <c r="J12" s="78">
        <f>-D18</f>
        <v>0</v>
      </c>
      <c r="K12" s="114"/>
      <c r="L12" s="105" t="s">
        <v>54</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row>
    <row r="13" spans="1:59" ht="19.5" customHeight="1" thickBot="1" x14ac:dyDescent="0.35">
      <c r="A13" s="109"/>
      <c r="B13" s="88" t="s">
        <v>145</v>
      </c>
      <c r="C13" s="60">
        <v>18.7</v>
      </c>
      <c r="D13" s="63">
        <f>L9</f>
        <v>18.7</v>
      </c>
      <c r="E13" s="103"/>
      <c r="F13" s="42"/>
      <c r="G13" s="112"/>
      <c r="H13" s="30" t="s">
        <v>11</v>
      </c>
      <c r="I13" s="31"/>
      <c r="J13" s="32">
        <f>J11-D18</f>
        <v>0</v>
      </c>
      <c r="K13" s="114"/>
      <c r="L13" s="105">
        <f>J11*0.9</f>
        <v>0</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row>
    <row r="14" spans="1:59" ht="19.5" customHeight="1" thickBot="1" x14ac:dyDescent="0.4">
      <c r="A14" s="109"/>
      <c r="B14" s="59" t="s">
        <v>39</v>
      </c>
      <c r="C14" s="3">
        <v>0</v>
      </c>
      <c r="D14" s="62">
        <f>(C14*D17)/(C17)</f>
        <v>0</v>
      </c>
      <c r="E14" s="103"/>
      <c r="F14" s="42"/>
      <c r="G14" s="112"/>
      <c r="H14" s="83" t="s">
        <v>122</v>
      </c>
      <c r="I14" s="51"/>
      <c r="J14" s="73">
        <f>IF(L15&lt;0,0,L15)</f>
        <v>0</v>
      </c>
      <c r="K14" s="114"/>
      <c r="L14" s="105" t="s">
        <v>54</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row>
    <row r="15" spans="1:59" ht="19.5" customHeight="1" thickBot="1" x14ac:dyDescent="0.35">
      <c r="A15" s="109"/>
      <c r="B15" s="58" t="s">
        <v>40</v>
      </c>
      <c r="C15" s="4">
        <v>0</v>
      </c>
      <c r="D15" s="62">
        <f>(C15*D16)/(C16)</f>
        <v>0</v>
      </c>
      <c r="E15" s="103"/>
      <c r="F15" s="42"/>
      <c r="G15" s="112"/>
      <c r="H15" s="74" t="s">
        <v>1</v>
      </c>
      <c r="I15" s="75"/>
      <c r="J15" s="34">
        <f>(C10*20.5)-J9-J14</f>
        <v>0</v>
      </c>
      <c r="K15" s="114"/>
      <c r="L15" s="105">
        <f>J13*0.9</f>
        <v>0</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row>
    <row r="16" spans="1:59" ht="19.5" customHeight="1" thickBot="1" x14ac:dyDescent="0.3">
      <c r="A16" s="109"/>
      <c r="B16" s="88" t="s">
        <v>146</v>
      </c>
      <c r="C16" s="93">
        <v>24.8</v>
      </c>
      <c r="D16" s="63">
        <f>L10</f>
        <v>24.8</v>
      </c>
      <c r="E16" s="103"/>
      <c r="F16" s="42"/>
      <c r="G16" s="42"/>
      <c r="H16" s="103"/>
      <c r="I16" s="103"/>
      <c r="J16" s="111"/>
      <c r="K16" s="114"/>
      <c r="L16" s="105"/>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9.5" customHeight="1" thickBot="1" x14ac:dyDescent="0.4">
      <c r="A17" s="109"/>
      <c r="B17" s="88" t="s">
        <v>147</v>
      </c>
      <c r="C17" s="65">
        <v>15.45</v>
      </c>
      <c r="D17" s="64">
        <f>L11</f>
        <v>15.45</v>
      </c>
      <c r="E17" s="103"/>
      <c r="F17" s="42"/>
      <c r="G17" s="112"/>
      <c r="H17" s="52" t="s">
        <v>30</v>
      </c>
      <c r="I17" s="53"/>
      <c r="J17" s="73">
        <f>C8*20.5</f>
        <v>0</v>
      </c>
      <c r="K17" s="114"/>
      <c r="L17" s="105">
        <f>IF(L15&lt;L13,L15,L13)</f>
        <v>0</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9.5" customHeight="1" thickBot="1" x14ac:dyDescent="0.4">
      <c r="A18" s="109"/>
      <c r="B18" s="136" t="s">
        <v>14</v>
      </c>
      <c r="C18" s="137"/>
      <c r="D18" s="70">
        <f>(D11*20.3/D13-D11)+(D12*20.3/D13-D12)+(D14*16.75/D17-D14)+(D15*26.9/D16-D15)</f>
        <v>0</v>
      </c>
      <c r="E18" s="103"/>
      <c r="F18" s="42"/>
      <c r="G18" s="112"/>
      <c r="H18" s="92" t="s">
        <v>88</v>
      </c>
      <c r="I18" s="53"/>
      <c r="J18" s="73">
        <f>C9*20.5</f>
        <v>0</v>
      </c>
      <c r="K18" s="114"/>
      <c r="L18" s="105"/>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9.5" customHeight="1" thickBot="1" x14ac:dyDescent="0.35">
      <c r="A19" s="109"/>
      <c r="B19" s="138" t="s">
        <v>36</v>
      </c>
      <c r="C19" s="148">
        <v>0</v>
      </c>
      <c r="D19" s="302"/>
      <c r="E19" s="103"/>
      <c r="F19" s="42"/>
      <c r="G19" s="42"/>
      <c r="H19" s="103"/>
      <c r="I19" s="103"/>
      <c r="J19" s="111"/>
      <c r="K19" s="111"/>
      <c r="L19" s="105"/>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9.5" customHeight="1" x14ac:dyDescent="0.35">
      <c r="A20" s="109"/>
      <c r="B20" s="139" t="s">
        <v>18</v>
      </c>
      <c r="C20" s="149">
        <v>0</v>
      </c>
      <c r="D20" s="303"/>
      <c r="E20" s="103"/>
      <c r="F20" s="42"/>
      <c r="G20" s="42"/>
      <c r="H20" s="54" t="s">
        <v>84</v>
      </c>
      <c r="I20" s="55"/>
      <c r="J20" s="56"/>
      <c r="K20" s="111"/>
      <c r="L20" s="105"/>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9.5" customHeight="1" thickBot="1" x14ac:dyDescent="0.45">
      <c r="A21" s="109"/>
      <c r="B21" s="140" t="s">
        <v>19</v>
      </c>
      <c r="C21" s="150">
        <v>0</v>
      </c>
      <c r="D21" s="303"/>
      <c r="E21" s="103"/>
      <c r="F21" s="42"/>
      <c r="G21" s="110"/>
      <c r="H21" s="160"/>
      <c r="I21" s="161"/>
      <c r="J21" s="162"/>
      <c r="K21" s="111"/>
      <c r="L21" s="105"/>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9.5" customHeight="1" x14ac:dyDescent="0.3">
      <c r="A22" s="109"/>
      <c r="B22" s="140" t="s">
        <v>100</v>
      </c>
      <c r="C22" s="150">
        <v>0</v>
      </c>
      <c r="D22" s="303"/>
      <c r="E22" s="103"/>
      <c r="F22" s="42"/>
      <c r="G22" s="112"/>
      <c r="H22" s="165" t="s">
        <v>24</v>
      </c>
      <c r="I22" s="173" t="s">
        <v>55</v>
      </c>
      <c r="J22" s="24">
        <f>PRODUCT(SUM(C19,-C20,-C21,-C22,-C23),15.34)</f>
        <v>0</v>
      </c>
      <c r="K22" s="111"/>
      <c r="L22" s="105"/>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9.5" customHeight="1" thickBot="1" x14ac:dyDescent="0.35">
      <c r="A23" s="109"/>
      <c r="B23" s="141" t="s">
        <v>66</v>
      </c>
      <c r="C23" s="151">
        <v>0</v>
      </c>
      <c r="D23" s="303"/>
      <c r="E23" s="103"/>
      <c r="F23" s="42"/>
      <c r="G23" s="112"/>
      <c r="H23" s="82" t="s">
        <v>20</v>
      </c>
      <c r="I23" s="171" t="s">
        <v>33</v>
      </c>
      <c r="J23" s="168">
        <f>PRODUCT(C20,61.35)</f>
        <v>0</v>
      </c>
      <c r="K23" s="111"/>
      <c r="L23" s="10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9.5" customHeight="1" thickBot="1" x14ac:dyDescent="0.35">
      <c r="A24" s="109"/>
      <c r="B24" s="138" t="s">
        <v>138</v>
      </c>
      <c r="C24" s="1">
        <v>0</v>
      </c>
      <c r="D24" s="303"/>
      <c r="E24" s="103"/>
      <c r="F24" s="42"/>
      <c r="G24" s="112"/>
      <c r="H24" s="82" t="s">
        <v>21</v>
      </c>
      <c r="I24" s="171" t="s">
        <v>33</v>
      </c>
      <c r="J24" s="168">
        <f>PRODUCT(C21,61.35)</f>
        <v>0</v>
      </c>
      <c r="K24" s="111"/>
      <c r="L24" s="10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9.5" customHeight="1" x14ac:dyDescent="0.3">
      <c r="A25" s="109"/>
      <c r="B25" s="156" t="s">
        <v>125</v>
      </c>
      <c r="C25" s="243">
        <v>0</v>
      </c>
      <c r="D25" s="303"/>
      <c r="E25" s="103"/>
      <c r="F25" s="42"/>
      <c r="G25" s="112"/>
      <c r="H25" s="82" t="s">
        <v>67</v>
      </c>
      <c r="I25" s="171" t="s">
        <v>33</v>
      </c>
      <c r="J25" s="168">
        <f>PRODUCT(C22,61.35)</f>
        <v>0</v>
      </c>
      <c r="K25" s="111"/>
      <c r="L25" s="105"/>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9.5" customHeight="1" thickBot="1" x14ac:dyDescent="0.35">
      <c r="A26" s="109"/>
      <c r="B26" s="142" t="s">
        <v>82</v>
      </c>
      <c r="C26" s="260">
        <v>0</v>
      </c>
      <c r="D26" s="303"/>
      <c r="E26" s="103"/>
      <c r="F26" s="42"/>
      <c r="G26" s="112"/>
      <c r="H26" s="82" t="s">
        <v>68</v>
      </c>
      <c r="I26" s="171" t="s">
        <v>69</v>
      </c>
      <c r="J26" s="168">
        <f>PRODUCT(C23,40.35)</f>
        <v>0</v>
      </c>
      <c r="K26" s="111"/>
      <c r="L26" s="105"/>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9.5" customHeight="1" thickBot="1" x14ac:dyDescent="0.35">
      <c r="A27" s="109"/>
      <c r="B27" s="138" t="s">
        <v>8</v>
      </c>
      <c r="C27" s="2">
        <v>0</v>
      </c>
      <c r="D27" s="303"/>
      <c r="E27" s="103"/>
      <c r="F27" s="42"/>
      <c r="G27" s="112"/>
      <c r="H27" s="82" t="s">
        <v>71</v>
      </c>
      <c r="I27" s="36" t="s">
        <v>70</v>
      </c>
      <c r="J27" s="168">
        <f>PRODUCT(SUM(C24,-C25,-C26),25)</f>
        <v>0</v>
      </c>
      <c r="K27" s="111"/>
      <c r="L27" s="10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9.5" customHeight="1" x14ac:dyDescent="0.3">
      <c r="A28" s="109"/>
      <c r="B28" s="156" t="s">
        <v>18</v>
      </c>
      <c r="C28" s="188">
        <v>0</v>
      </c>
      <c r="D28" s="303"/>
      <c r="E28" s="103"/>
      <c r="F28" s="42"/>
      <c r="G28" s="112"/>
      <c r="H28" s="82" t="s">
        <v>131</v>
      </c>
      <c r="I28" s="36" t="s">
        <v>123</v>
      </c>
      <c r="J28" s="168">
        <f>PRODUCT(C25,110)</f>
        <v>0</v>
      </c>
      <c r="K28" s="111"/>
      <c r="L28" s="10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9.5" customHeight="1" x14ac:dyDescent="0.3">
      <c r="A29" s="109"/>
      <c r="B29" s="140" t="s">
        <v>19</v>
      </c>
      <c r="C29" s="154">
        <v>0</v>
      </c>
      <c r="D29" s="303"/>
      <c r="E29" s="103"/>
      <c r="F29" s="42"/>
      <c r="G29" s="112"/>
      <c r="H29" s="82" t="s">
        <v>132</v>
      </c>
      <c r="I29" s="36" t="s">
        <v>124</v>
      </c>
      <c r="J29" s="168">
        <f>PRODUCT(C26,4)</f>
        <v>0</v>
      </c>
      <c r="K29" s="111"/>
      <c r="L29" s="10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8" customHeight="1" x14ac:dyDescent="0.3">
      <c r="A30" s="109"/>
      <c r="B30" s="140" t="s">
        <v>100</v>
      </c>
      <c r="C30" s="154">
        <v>0</v>
      </c>
      <c r="D30" s="303"/>
      <c r="E30" s="103"/>
      <c r="F30" s="42"/>
      <c r="G30" s="112"/>
      <c r="H30" s="166" t="s">
        <v>25</v>
      </c>
      <c r="I30" s="174" t="s">
        <v>56</v>
      </c>
      <c r="J30" s="169">
        <f>PRODUCT(SUM(C27,-C28,-C29,-C30,-C31,-C32),1.38)</f>
        <v>0</v>
      </c>
      <c r="K30" s="111"/>
      <c r="L30" s="105"/>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8" customHeight="1" x14ac:dyDescent="0.3">
      <c r="A31" s="109"/>
      <c r="B31" s="141" t="s">
        <v>81</v>
      </c>
      <c r="C31" s="154">
        <v>0</v>
      </c>
      <c r="D31" s="303"/>
      <c r="E31" s="103"/>
      <c r="F31" s="42"/>
      <c r="G31" s="112"/>
      <c r="H31" s="82" t="s">
        <v>22</v>
      </c>
      <c r="I31" s="171" t="s">
        <v>34</v>
      </c>
      <c r="J31" s="168">
        <f>PRODUCT(C28,5.5)</f>
        <v>0</v>
      </c>
      <c r="K31" s="111"/>
      <c r="L31" s="105"/>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8" customHeight="1" thickBot="1" x14ac:dyDescent="0.35">
      <c r="A32" s="109"/>
      <c r="B32" s="143" t="s">
        <v>82</v>
      </c>
      <c r="C32" s="155">
        <v>0</v>
      </c>
      <c r="D32" s="303"/>
      <c r="E32" s="103"/>
      <c r="F32" s="42"/>
      <c r="G32" s="112"/>
      <c r="H32" s="82" t="s">
        <v>23</v>
      </c>
      <c r="I32" s="171" t="s">
        <v>34</v>
      </c>
      <c r="J32" s="168">
        <f>PRODUCT(C29,5.5)</f>
        <v>0</v>
      </c>
      <c r="K32" s="111"/>
      <c r="L32" s="105"/>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8" customHeight="1" thickBot="1" x14ac:dyDescent="0.35">
      <c r="A33" s="109"/>
      <c r="B33" s="138" t="s">
        <v>9</v>
      </c>
      <c r="C33" s="190">
        <v>0</v>
      </c>
      <c r="D33" s="304"/>
      <c r="E33" s="103"/>
      <c r="F33" s="42"/>
      <c r="G33" s="112"/>
      <c r="H33" s="82" t="s">
        <v>72</v>
      </c>
      <c r="I33" s="171" t="s">
        <v>34</v>
      </c>
      <c r="J33" s="168">
        <f>PRODUCT(C30,5.5)</f>
        <v>0</v>
      </c>
      <c r="K33" s="111"/>
      <c r="L33" s="105"/>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8" customHeight="1" x14ac:dyDescent="0.3">
      <c r="A34" s="109"/>
      <c r="B34" s="139" t="s">
        <v>18</v>
      </c>
      <c r="C34" s="189">
        <v>0</v>
      </c>
      <c r="D34" s="304"/>
      <c r="E34" s="103"/>
      <c r="F34" s="42"/>
      <c r="G34" s="112"/>
      <c r="H34" s="82" t="s">
        <v>78</v>
      </c>
      <c r="I34" s="171" t="s">
        <v>73</v>
      </c>
      <c r="J34" s="168">
        <f>PRODUCT(C31,4.96)</f>
        <v>0</v>
      </c>
      <c r="K34" s="111"/>
      <c r="L34" s="105"/>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8" customHeight="1" x14ac:dyDescent="0.3">
      <c r="A35" s="109"/>
      <c r="B35" s="140" t="s">
        <v>19</v>
      </c>
      <c r="C35" s="152">
        <v>0</v>
      </c>
      <c r="D35" s="304"/>
      <c r="E35" s="103"/>
      <c r="F35" s="42"/>
      <c r="G35" s="112"/>
      <c r="H35" s="82" t="s">
        <v>79</v>
      </c>
      <c r="I35" s="171" t="s">
        <v>80</v>
      </c>
      <c r="J35" s="168">
        <f>PRODUCT(C32,4.42)</f>
        <v>0</v>
      </c>
      <c r="K35" s="111"/>
      <c r="L35" s="105"/>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
      <c r="A36" s="109"/>
      <c r="B36" s="140" t="s">
        <v>100</v>
      </c>
      <c r="C36" s="152">
        <v>0</v>
      </c>
      <c r="D36" s="304"/>
      <c r="E36" s="103"/>
      <c r="F36" s="10"/>
      <c r="G36" s="10"/>
      <c r="H36" s="166" t="s">
        <v>26</v>
      </c>
      <c r="I36" s="174" t="s">
        <v>57</v>
      </c>
      <c r="J36" s="169">
        <f>PRODUCT(SUM(C33,-C34,-C35,-C36,-C37,-C38),15.15)</f>
        <v>0</v>
      </c>
      <c r="K36" s="111"/>
      <c r="L36" s="105"/>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8" customHeight="1" x14ac:dyDescent="0.3">
      <c r="A37" s="109"/>
      <c r="B37" s="140" t="s">
        <v>85</v>
      </c>
      <c r="C37" s="152">
        <v>0</v>
      </c>
      <c r="D37" s="304"/>
      <c r="E37" s="103"/>
      <c r="F37" s="42"/>
      <c r="G37" s="112"/>
      <c r="H37" s="82" t="s">
        <v>27</v>
      </c>
      <c r="I37" s="171" t="s">
        <v>35</v>
      </c>
      <c r="J37" s="168">
        <f>PRODUCT(C34,60.6)</f>
        <v>0</v>
      </c>
      <c r="K37" s="111"/>
      <c r="L37" s="106"/>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thickBot="1" x14ac:dyDescent="0.35">
      <c r="A38" s="109"/>
      <c r="B38" s="143" t="s">
        <v>82</v>
      </c>
      <c r="C38" s="153">
        <v>0</v>
      </c>
      <c r="D38" s="305"/>
      <c r="E38" s="103"/>
      <c r="F38" s="42"/>
      <c r="G38" s="112"/>
      <c r="H38" s="82" t="s">
        <v>28</v>
      </c>
      <c r="I38" s="171" t="s">
        <v>35</v>
      </c>
      <c r="J38" s="168">
        <f>PRODUCT(C35,60.6)</f>
        <v>0</v>
      </c>
      <c r="K38" s="111"/>
      <c r="L38" s="106"/>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thickBot="1" x14ac:dyDescent="0.3">
      <c r="A39" s="118"/>
      <c r="B39" s="118"/>
      <c r="C39" s="118"/>
      <c r="D39" s="118"/>
      <c r="E39" s="103"/>
      <c r="F39" s="42"/>
      <c r="G39" s="112"/>
      <c r="H39" s="82" t="s">
        <v>74</v>
      </c>
      <c r="I39" s="171" t="s">
        <v>35</v>
      </c>
      <c r="J39" s="168">
        <f>PRODUCT(C36,60.6)</f>
        <v>0</v>
      </c>
      <c r="K39" s="131"/>
      <c r="L39" s="105"/>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3">
      <c r="A40" s="118"/>
      <c r="B40" s="289" t="s">
        <v>119</v>
      </c>
      <c r="C40" s="290"/>
      <c r="D40" s="291"/>
      <c r="E40" s="103"/>
      <c r="F40" s="42"/>
      <c r="G40" s="112"/>
      <c r="H40" s="82" t="s">
        <v>75</v>
      </c>
      <c r="I40" s="171" t="s">
        <v>35</v>
      </c>
      <c r="J40" s="168">
        <f>PRODUCT(C37,60.6)</f>
        <v>0</v>
      </c>
      <c r="K40" s="131"/>
      <c r="L40" s="105"/>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21" customHeight="1" thickBot="1" x14ac:dyDescent="0.3">
      <c r="A41" s="118"/>
      <c r="B41" s="308" t="s">
        <v>120</v>
      </c>
      <c r="C41" s="259" t="s">
        <v>4</v>
      </c>
      <c r="D41" s="258"/>
      <c r="E41" s="103"/>
      <c r="F41" s="10"/>
      <c r="G41" s="10"/>
      <c r="H41" s="82" t="s">
        <v>76</v>
      </c>
      <c r="I41" s="171" t="s">
        <v>77</v>
      </c>
      <c r="J41" s="168">
        <f>PRODUCT(C38,19.6)</f>
        <v>0</v>
      </c>
      <c r="K41" s="111"/>
      <c r="L41" s="106"/>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22.5" customHeight="1" thickBot="1" x14ac:dyDescent="0.35">
      <c r="A42" s="118"/>
      <c r="B42" s="309"/>
      <c r="C42" s="250">
        <f>SUM(C47:C49)</f>
        <v>0</v>
      </c>
      <c r="D42" s="257" t="s">
        <v>114</v>
      </c>
      <c r="E42" s="103"/>
      <c r="F42" s="42"/>
      <c r="G42" s="42"/>
      <c r="H42" s="86" t="s">
        <v>48</v>
      </c>
      <c r="I42" s="252"/>
      <c r="J42" s="253">
        <v>0</v>
      </c>
      <c r="K42" s="111"/>
      <c r="L42" s="105"/>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22.5" customHeight="1" thickBot="1" x14ac:dyDescent="0.4">
      <c r="A43" s="109"/>
      <c r="B43" s="247" t="s">
        <v>113</v>
      </c>
      <c r="C43" s="255"/>
      <c r="D43" s="256"/>
      <c r="E43" s="103"/>
      <c r="F43" s="42"/>
      <c r="G43" s="112"/>
      <c r="H43" s="85" t="s">
        <v>86</v>
      </c>
      <c r="I43" s="254"/>
      <c r="J43" s="73">
        <f>IF(SUM(J22,J30,J36)&gt;0,SUM(J22:J42),SUM(J23:J29,J31:J35,J37:J41))</f>
        <v>0</v>
      </c>
      <c r="K43" s="111"/>
      <c r="L43" s="106"/>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8" hidden="1" customHeight="1" x14ac:dyDescent="0.3">
      <c r="A44" s="109"/>
      <c r="B44" s="139" t="s">
        <v>89</v>
      </c>
      <c r="C44" s="246">
        <v>0</v>
      </c>
      <c r="D44" s="239"/>
      <c r="E44" s="103"/>
      <c r="F44" s="42"/>
      <c r="G44" s="42"/>
      <c r="H44" s="103"/>
      <c r="I44" s="103"/>
      <c r="J44" s="111"/>
      <c r="K44" s="111"/>
      <c r="L44" s="106"/>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8" hidden="1" customHeight="1" x14ac:dyDescent="0.35">
      <c r="A45" s="109"/>
      <c r="B45" s="140" t="s">
        <v>103</v>
      </c>
      <c r="C45" s="244">
        <v>0</v>
      </c>
      <c r="D45" s="239"/>
      <c r="E45" s="103"/>
      <c r="F45" s="42"/>
      <c r="G45" s="112"/>
      <c r="H45" s="145" t="s">
        <v>42</v>
      </c>
      <c r="I45" s="146"/>
      <c r="J45" s="147"/>
      <c r="K45" s="111"/>
      <c r="L45" s="106"/>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hidden="1" customHeight="1" x14ac:dyDescent="0.25">
      <c r="A46" s="109"/>
      <c r="B46" s="242"/>
      <c r="C46" s="242"/>
      <c r="D46" s="111"/>
      <c r="E46" s="103"/>
      <c r="F46" s="42"/>
      <c r="G46" s="112"/>
      <c r="H46" s="66"/>
      <c r="I46" s="67"/>
      <c r="J46" s="68"/>
      <c r="K46" s="111"/>
      <c r="L46" s="106"/>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row>
    <row r="47" spans="1:59" s="6" customFormat="1" ht="23.25" customHeight="1" thickBot="1" x14ac:dyDescent="0.35">
      <c r="A47" s="115"/>
      <c r="B47" s="156" t="s">
        <v>110</v>
      </c>
      <c r="C47" s="243">
        <v>0</v>
      </c>
      <c r="D47" s="240"/>
      <c r="E47" s="104"/>
      <c r="F47" s="5"/>
      <c r="G47" s="5"/>
      <c r="H47" s="33" t="s">
        <v>49</v>
      </c>
      <c r="I47" s="39"/>
      <c r="J47" s="40">
        <f>SUM(PRODUCT(SUM(C19,-C20,-C21,-C22,-C23),5.11),PRODUCT(SUM(C27,-C28,-C29,-C30,-C31,-C32),2.28),PRODUCT(SUM(C33,-C34,-C35,-C36,-C37,-C38),19.89),0)</f>
        <v>0</v>
      </c>
      <c r="K47" s="116"/>
      <c r="L47" s="105">
        <f>J47*0.9</f>
        <v>0</v>
      </c>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87"/>
      <c r="AN47" s="87"/>
      <c r="AO47" s="87"/>
      <c r="AP47" s="87"/>
      <c r="AQ47" s="87"/>
      <c r="AR47" s="87"/>
      <c r="AS47" s="87"/>
      <c r="AT47" s="87"/>
      <c r="AU47" s="87"/>
      <c r="AV47" s="87"/>
      <c r="AW47" s="87"/>
      <c r="AX47" s="87"/>
      <c r="AY47" s="87"/>
      <c r="AZ47" s="87"/>
      <c r="BA47" s="87"/>
      <c r="BB47" s="87"/>
      <c r="BC47" s="87"/>
      <c r="BD47" s="87"/>
      <c r="BE47" s="87"/>
      <c r="BF47" s="87"/>
      <c r="BG47" s="87"/>
    </row>
    <row r="48" spans="1:59" s="6" customFormat="1" ht="23.25" customHeight="1" thickBot="1" x14ac:dyDescent="0.4">
      <c r="A48" s="115"/>
      <c r="B48" s="140" t="s">
        <v>111</v>
      </c>
      <c r="C48" s="244">
        <v>0</v>
      </c>
      <c r="D48" s="239"/>
      <c r="E48" s="104"/>
      <c r="F48" s="5"/>
      <c r="G48" s="5"/>
      <c r="H48" s="85" t="s">
        <v>121</v>
      </c>
      <c r="I48" s="69"/>
      <c r="J48" s="73">
        <f>IF(L48&gt;L47,IF(L47&lt;0,0,L47),IF(L48&lt;0,0,L48))</f>
        <v>0</v>
      </c>
      <c r="K48" s="116"/>
      <c r="L48" s="105">
        <f>SUM((J11+J47)-D18)*0.9</f>
        <v>0</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89"/>
      <c r="AN48" s="89"/>
      <c r="AO48" s="89"/>
      <c r="AP48" s="89"/>
      <c r="AQ48" s="89"/>
      <c r="AR48" s="89"/>
      <c r="AS48" s="89"/>
      <c r="AT48" s="89"/>
      <c r="AU48" s="89"/>
      <c r="AV48" s="89"/>
      <c r="AW48" s="89"/>
      <c r="AX48" s="89"/>
      <c r="AY48" s="89"/>
      <c r="AZ48" s="89"/>
      <c r="BA48" s="89"/>
      <c r="BB48" s="89"/>
      <c r="BC48" s="89"/>
      <c r="BD48" s="89"/>
      <c r="BE48" s="89"/>
      <c r="BF48" s="89"/>
      <c r="BG48" s="89"/>
    </row>
    <row r="49" spans="1:59" s="6" customFormat="1" ht="21" customHeight="1" thickBot="1" x14ac:dyDescent="0.35">
      <c r="A49" s="115"/>
      <c r="B49" s="143" t="s">
        <v>112</v>
      </c>
      <c r="C49" s="245">
        <v>0</v>
      </c>
      <c r="D49" s="241"/>
      <c r="E49" s="104"/>
      <c r="F49" s="5"/>
      <c r="G49" s="5"/>
      <c r="H49" s="118"/>
      <c r="I49" s="118"/>
      <c r="J49" s="118"/>
      <c r="K49" s="116"/>
      <c r="L49" s="89"/>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89"/>
      <c r="AN49" s="89"/>
      <c r="AO49" s="89"/>
      <c r="AP49" s="89"/>
      <c r="AQ49" s="89"/>
      <c r="AR49" s="89"/>
      <c r="AS49" s="89"/>
      <c r="AT49" s="89"/>
      <c r="AU49" s="89"/>
      <c r="AV49" s="89"/>
      <c r="AW49" s="89"/>
      <c r="AX49" s="89"/>
      <c r="AY49" s="89"/>
      <c r="AZ49" s="89"/>
      <c r="BA49" s="89"/>
      <c r="BB49" s="89"/>
      <c r="BC49" s="89"/>
      <c r="BD49" s="89"/>
      <c r="BE49" s="89"/>
      <c r="BF49" s="89"/>
      <c r="BG49" s="89"/>
    </row>
    <row r="50" spans="1:59" s="6" customFormat="1" ht="21.75" customHeight="1" thickBot="1" x14ac:dyDescent="0.4">
      <c r="A50" s="115"/>
      <c r="B50" s="118"/>
      <c r="C50" s="118"/>
      <c r="D50" s="118"/>
      <c r="E50" s="104"/>
      <c r="F50" s="5"/>
      <c r="G50" s="5"/>
      <c r="H50" s="236" t="s">
        <v>115</v>
      </c>
      <c r="I50" s="237"/>
      <c r="J50" s="73">
        <f>IF(SUM(C47*(669.8-61.35),C48*(654.5-61.35),C49*(721-61.35))&lt;50,0,SUM(C47*(669.8-61.35),C48*(654.5-61.35),C49*(721-61.35)))</f>
        <v>0</v>
      </c>
      <c r="K50" s="116"/>
      <c r="L50" s="84"/>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89"/>
      <c r="AN50" s="89"/>
      <c r="AO50" s="89"/>
      <c r="AP50" s="89"/>
      <c r="AQ50" s="89"/>
      <c r="AR50" s="89"/>
      <c r="AS50" s="89"/>
      <c r="AT50" s="89"/>
      <c r="AU50" s="89"/>
      <c r="AV50" s="89"/>
      <c r="AW50" s="89"/>
      <c r="AX50" s="89"/>
      <c r="AY50" s="89"/>
      <c r="AZ50" s="89"/>
      <c r="BA50" s="89"/>
      <c r="BB50" s="89"/>
      <c r="BC50" s="89"/>
      <c r="BD50" s="89"/>
      <c r="BE50" s="89"/>
      <c r="BF50" s="89"/>
      <c r="BG50" s="89"/>
    </row>
    <row r="51" spans="1:59" s="6" customFormat="1" ht="18.75" customHeight="1" thickBot="1" x14ac:dyDescent="0.35">
      <c r="A51" s="115"/>
      <c r="B51" s="338" t="s">
        <v>116</v>
      </c>
      <c r="C51" s="339"/>
      <c r="D51" s="340"/>
      <c r="E51" s="104"/>
      <c r="F51" s="117"/>
      <c r="G51" s="117"/>
      <c r="H51" s="118"/>
      <c r="I51" s="118"/>
      <c r="J51" s="118"/>
      <c r="K51" s="116"/>
      <c r="L51" s="84"/>
      <c r="M51" s="84"/>
      <c r="N51" s="84"/>
    </row>
    <row r="52" spans="1:59" s="6" customFormat="1" ht="19.5" customHeight="1" thickBot="1" x14ac:dyDescent="0.4">
      <c r="A52" s="115"/>
      <c r="B52" s="341"/>
      <c r="C52" s="342"/>
      <c r="D52" s="343"/>
      <c r="E52" s="104"/>
      <c r="F52" s="117"/>
      <c r="G52" s="117"/>
      <c r="H52" s="183" t="s">
        <v>31</v>
      </c>
      <c r="I52" s="144"/>
      <c r="J52" s="198">
        <f>SUM(J9,J14,J17,J18,J43,J48,J50)</f>
        <v>0</v>
      </c>
      <c r="K52" s="116"/>
    </row>
    <row r="53" spans="1:59" s="6" customFormat="1" ht="19.5" customHeight="1" x14ac:dyDescent="0.3">
      <c r="A53" s="115"/>
      <c r="B53" s="341"/>
      <c r="C53" s="342"/>
      <c r="D53" s="343"/>
      <c r="E53" s="104"/>
      <c r="F53" s="117"/>
      <c r="G53" s="117"/>
      <c r="H53" s="319" t="s">
        <v>171</v>
      </c>
      <c r="I53" s="320"/>
      <c r="J53" s="135">
        <f>SUM(C7*20.5,C19*20.45,C24*25,C27*3.66,C33*35.04)</f>
        <v>0</v>
      </c>
      <c r="K53" s="116"/>
    </row>
    <row r="54" spans="1:59" s="6" customFormat="1" ht="19.5" customHeight="1" thickBot="1" x14ac:dyDescent="0.35">
      <c r="A54" s="115"/>
      <c r="B54" s="341"/>
      <c r="C54" s="342"/>
      <c r="D54" s="343"/>
      <c r="E54" s="104"/>
      <c r="F54" s="117"/>
      <c r="G54" s="117"/>
      <c r="H54" s="321" t="s">
        <v>51</v>
      </c>
      <c r="I54" s="322"/>
      <c r="J54" s="91">
        <f>J53-J52+J50</f>
        <v>0</v>
      </c>
      <c r="K54" s="116"/>
    </row>
    <row r="55" spans="1:59" s="6" customFormat="1" ht="18.75" customHeight="1" thickBot="1" x14ac:dyDescent="0.35">
      <c r="A55" s="115"/>
      <c r="B55" s="341"/>
      <c r="C55" s="342"/>
      <c r="D55" s="343"/>
      <c r="E55" s="104"/>
      <c r="F55" s="117"/>
      <c r="G55" s="117"/>
      <c r="H55" s="118"/>
      <c r="I55" s="118"/>
      <c r="J55" s="157"/>
      <c r="K55" s="116"/>
    </row>
    <row r="56" spans="1:59" s="6" customFormat="1" ht="24.75" customHeight="1" x14ac:dyDescent="0.3">
      <c r="A56" s="115"/>
      <c r="B56" s="341"/>
      <c r="C56" s="342"/>
      <c r="D56" s="343"/>
      <c r="E56" s="104"/>
      <c r="F56" s="117"/>
      <c r="G56" s="117"/>
      <c r="H56" s="347" t="s">
        <v>83</v>
      </c>
      <c r="I56" s="348"/>
      <c r="J56" s="349"/>
      <c r="K56" s="116"/>
    </row>
    <row r="57" spans="1:59" s="6" customFormat="1" ht="16.5" customHeight="1" x14ac:dyDescent="0.3">
      <c r="A57" s="115"/>
      <c r="B57" s="341"/>
      <c r="C57" s="342"/>
      <c r="D57" s="343"/>
      <c r="E57" s="104"/>
      <c r="F57" s="117"/>
      <c r="G57" s="117"/>
      <c r="H57" s="350"/>
      <c r="I57" s="351"/>
      <c r="J57" s="352"/>
      <c r="K57" s="116"/>
    </row>
    <row r="58" spans="1:59" s="6" customFormat="1" ht="39" customHeight="1" thickBot="1" x14ac:dyDescent="0.35">
      <c r="A58" s="115"/>
      <c r="B58" s="344"/>
      <c r="C58" s="345"/>
      <c r="D58" s="346"/>
      <c r="E58" s="104"/>
      <c r="F58" s="117"/>
      <c r="G58" s="117"/>
      <c r="H58" s="353"/>
      <c r="I58" s="354"/>
      <c r="J58" s="355"/>
      <c r="K58" s="116"/>
    </row>
    <row r="59" spans="1:59" s="6" customFormat="1" ht="16.5" customHeight="1" thickBot="1" x14ac:dyDescent="0.35">
      <c r="A59" s="115"/>
      <c r="B59" s="104"/>
      <c r="C59" s="104"/>
      <c r="D59" s="104"/>
      <c r="E59" s="104"/>
      <c r="F59" s="117"/>
      <c r="G59" s="117"/>
      <c r="H59" s="104"/>
      <c r="I59" s="104"/>
      <c r="J59" s="104"/>
      <c r="K59" s="116"/>
    </row>
    <row r="60" spans="1:59" s="6" customFormat="1" ht="172.5" customHeight="1" thickBot="1" x14ac:dyDescent="0.35">
      <c r="A60" s="115"/>
      <c r="B60" s="332" t="s">
        <v>151</v>
      </c>
      <c r="C60" s="333"/>
      <c r="D60" s="334"/>
      <c r="E60" s="104"/>
      <c r="F60" s="117"/>
      <c r="G60" s="117"/>
      <c r="H60" s="335" t="s">
        <v>135</v>
      </c>
      <c r="I60" s="336"/>
      <c r="J60" s="337"/>
      <c r="K60" s="116"/>
    </row>
    <row r="61" spans="1:59" s="8" customFormat="1" ht="13.5" thickBot="1" x14ac:dyDescent="0.35">
      <c r="A61" s="119"/>
      <c r="B61" s="121"/>
      <c r="C61" s="121"/>
      <c r="D61" s="121"/>
      <c r="E61" s="121"/>
      <c r="F61" s="132"/>
      <c r="G61" s="132"/>
      <c r="H61" s="120"/>
      <c r="I61" s="120"/>
      <c r="J61" s="120"/>
      <c r="K61" s="122"/>
    </row>
    <row r="62" spans="1:59" s="6" customFormat="1" ht="6.75" customHeight="1" x14ac:dyDescent="0.3">
      <c r="A62" s="9"/>
      <c r="B62" s="158"/>
      <c r="C62" s="265"/>
      <c r="D62" s="265"/>
      <c r="E62" s="9"/>
      <c r="F62" s="7"/>
      <c r="G62" s="7"/>
      <c r="H62" s="7"/>
      <c r="I62" s="7"/>
      <c r="J62" s="7"/>
      <c r="K62" s="9"/>
    </row>
    <row r="63" spans="1:59" s="6" customFormat="1" ht="13" x14ac:dyDescent="0.3">
      <c r="A63" s="9"/>
      <c r="B63" s="265"/>
      <c r="C63" s="265"/>
      <c r="D63" s="265"/>
      <c r="E63" s="9"/>
      <c r="F63" s="7"/>
      <c r="G63" s="7"/>
      <c r="H63" s="7"/>
      <c r="I63" s="7"/>
      <c r="J63" s="7"/>
      <c r="K63" s="9"/>
    </row>
    <row r="64" spans="1:59" s="6" customFormat="1" ht="17.25" customHeight="1" x14ac:dyDescent="0.3">
      <c r="A64" s="9"/>
      <c r="B64" s="158"/>
      <c r="C64" s="265"/>
      <c r="D64" s="265"/>
      <c r="E64" s="9"/>
      <c r="F64" s="7"/>
      <c r="G64" s="7"/>
      <c r="H64" s="7"/>
      <c r="I64" s="7"/>
      <c r="J64" s="7"/>
      <c r="K64" s="9"/>
    </row>
    <row r="65" spans="1:11" s="6" customFormat="1" ht="13" x14ac:dyDescent="0.3">
      <c r="A65" s="9"/>
      <c r="B65" s="265"/>
      <c r="C65" s="265"/>
      <c r="D65" s="265"/>
      <c r="E65" s="9"/>
      <c r="F65" s="7"/>
      <c r="G65" s="7"/>
      <c r="H65" s="7"/>
      <c r="I65" s="7"/>
      <c r="J65" s="7"/>
      <c r="K65" s="9"/>
    </row>
    <row r="66" spans="1:11" s="6" customFormat="1" ht="13" x14ac:dyDescent="0.3">
      <c r="A66" s="9"/>
      <c r="B66" s="265"/>
      <c r="C66" s="265"/>
      <c r="D66" s="265"/>
      <c r="E66" s="9"/>
      <c r="F66" s="7"/>
      <c r="G66" s="7"/>
      <c r="H66" s="306"/>
      <c r="I66" s="307"/>
      <c r="J66" s="307"/>
      <c r="K66" s="9"/>
    </row>
    <row r="67" spans="1:11" s="6" customFormat="1" ht="13" x14ac:dyDescent="0.3">
      <c r="A67" s="9"/>
      <c r="B67" s="265"/>
      <c r="C67" s="265"/>
      <c r="D67" s="265"/>
      <c r="E67" s="9"/>
      <c r="F67" s="7"/>
      <c r="G67" s="7"/>
      <c r="H67" s="307"/>
      <c r="I67" s="307"/>
      <c r="J67" s="307"/>
      <c r="K67" s="9"/>
    </row>
    <row r="68" spans="1:11" s="6" customFormat="1" x14ac:dyDescent="0.25">
      <c r="A68" s="8"/>
      <c r="B68" s="265"/>
      <c r="C68" s="265"/>
      <c r="D68" s="265"/>
      <c r="E68" s="8"/>
      <c r="H68" s="307"/>
      <c r="I68" s="307"/>
      <c r="J68" s="307"/>
    </row>
    <row r="69" spans="1:11" s="6" customFormat="1" x14ac:dyDescent="0.25">
      <c r="H69" s="307"/>
      <c r="I69" s="307"/>
      <c r="J69" s="307"/>
    </row>
    <row r="70" spans="1:11" s="6" customFormat="1" x14ac:dyDescent="0.25">
      <c r="H70" s="307"/>
      <c r="I70" s="307"/>
      <c r="J70" s="307"/>
    </row>
    <row r="71" spans="1:11" s="6" customFormat="1" x14ac:dyDescent="0.25">
      <c r="H71" s="307"/>
      <c r="I71" s="307"/>
      <c r="J71" s="307"/>
    </row>
    <row r="72" spans="1:11" s="6" customFormat="1" x14ac:dyDescent="0.25">
      <c r="H72" s="307"/>
      <c r="I72" s="307"/>
      <c r="J72" s="307"/>
    </row>
    <row r="73" spans="1:11" s="6" customFormat="1" x14ac:dyDescent="0.25">
      <c r="H73" s="307"/>
      <c r="I73" s="307"/>
      <c r="J73" s="307"/>
    </row>
    <row r="74" spans="1:11" s="6" customFormat="1" x14ac:dyDescent="0.25">
      <c r="H74" s="307"/>
      <c r="I74" s="307"/>
      <c r="J74" s="307"/>
    </row>
    <row r="75" spans="1:11" s="6" customFormat="1" x14ac:dyDescent="0.25">
      <c r="H75" s="307"/>
      <c r="I75" s="307"/>
      <c r="J75" s="307"/>
    </row>
    <row r="76" spans="1:11" s="6" customFormat="1" x14ac:dyDescent="0.25">
      <c r="H76" s="307"/>
      <c r="I76" s="307"/>
      <c r="J76" s="307"/>
    </row>
    <row r="77" spans="1:11" s="6" customFormat="1" x14ac:dyDescent="0.25">
      <c r="H77" s="307"/>
      <c r="I77" s="307"/>
      <c r="J77" s="307"/>
    </row>
    <row r="78" spans="1:11" s="6" customFormat="1" x14ac:dyDescent="0.25">
      <c r="H78" s="307"/>
      <c r="I78" s="307"/>
      <c r="J78" s="307"/>
    </row>
    <row r="79" spans="1:11" s="6" customFormat="1" x14ac:dyDescent="0.25">
      <c r="H79" s="307"/>
      <c r="I79" s="307"/>
      <c r="J79" s="307"/>
    </row>
    <row r="80" spans="1:11" s="6" customFormat="1" x14ac:dyDescent="0.25">
      <c r="H80" s="307"/>
      <c r="I80" s="307"/>
      <c r="J80" s="307"/>
    </row>
    <row r="81" spans="8:10" s="6" customFormat="1" x14ac:dyDescent="0.25">
      <c r="H81" s="307"/>
      <c r="I81" s="307"/>
      <c r="J81" s="307"/>
    </row>
    <row r="82" spans="8:10" s="6" customFormat="1" x14ac:dyDescent="0.25">
      <c r="H82" s="307"/>
      <c r="I82" s="307"/>
      <c r="J82" s="307"/>
    </row>
    <row r="83" spans="8:10" s="6" customFormat="1" x14ac:dyDescent="0.25"/>
    <row r="84" spans="8:10" s="6" customFormat="1" x14ac:dyDescent="0.25"/>
    <row r="85" spans="8:10" s="6" customFormat="1" x14ac:dyDescent="0.25"/>
    <row r="86" spans="8:10" s="6" customFormat="1" x14ac:dyDescent="0.25"/>
    <row r="87" spans="8:10" s="6" customFormat="1" x14ac:dyDescent="0.25"/>
    <row r="88" spans="8:10" s="6" customFormat="1" x14ac:dyDescent="0.25"/>
    <row r="89" spans="8:10" s="6" customFormat="1" x14ac:dyDescent="0.25"/>
    <row r="90" spans="8:10" s="6" customFormat="1" x14ac:dyDescent="0.25"/>
    <row r="91" spans="8:10" s="6" customFormat="1" x14ac:dyDescent="0.25"/>
    <row r="92" spans="8:10" s="6" customFormat="1" x14ac:dyDescent="0.25"/>
    <row r="93" spans="8:10" s="6" customFormat="1" x14ac:dyDescent="0.25"/>
    <row r="94" spans="8:10" s="6" customFormat="1" x14ac:dyDescent="0.25"/>
    <row r="95" spans="8:10" s="6" customFormat="1" x14ac:dyDescent="0.25"/>
    <row r="96" spans="8:10"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sheetData>
  <sheetProtection password="C6AA" sheet="1" objects="1" scenarios="1"/>
  <mergeCells count="14">
    <mergeCell ref="H66:J82"/>
    <mergeCell ref="B2:J2"/>
    <mergeCell ref="D19:D38"/>
    <mergeCell ref="B40:D40"/>
    <mergeCell ref="B41:B42"/>
    <mergeCell ref="B51:D58"/>
    <mergeCell ref="H53:I53"/>
    <mergeCell ref="H54:I54"/>
    <mergeCell ref="H56:J58"/>
    <mergeCell ref="B5:B6"/>
    <mergeCell ref="C5:C6"/>
    <mergeCell ref="D5:D6"/>
    <mergeCell ref="B60:D60"/>
    <mergeCell ref="H60:J60"/>
  </mergeCells>
  <pageMargins left="0.7" right="0.7" top="0.78740157499999996" bottom="0.78740157499999996"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11</vt:i4>
      </vt:variant>
    </vt:vector>
  </HeadingPairs>
  <TitlesOfParts>
    <vt:vector size="26" baseType="lpstr">
      <vt:lpstr>Ökosteuer 2018</vt:lpstr>
      <vt:lpstr>Ökosteuer 2018 (ohne Sockel)</vt:lpstr>
      <vt:lpstr>Ökosteuer 2017</vt:lpstr>
      <vt:lpstr>Ökosteuer 2017 (ohne Sockel)</vt:lpstr>
      <vt:lpstr>Jahresvergleich 2017 und 2018</vt:lpstr>
      <vt:lpstr>Vergleichsrechner 2017</vt:lpstr>
      <vt:lpstr>Vergleichsrechner 2018</vt:lpstr>
      <vt:lpstr>Ökosteuer 2015</vt:lpstr>
      <vt:lpstr>Ökosteuer 2015 (ohne Sockel)</vt:lpstr>
      <vt:lpstr>Jahresvergleich 2014 und 2015</vt:lpstr>
      <vt:lpstr>Ökosteuer 2014</vt:lpstr>
      <vt:lpstr>Ökosteuer 2012</vt:lpstr>
      <vt:lpstr>Ökosteuer 2012 ohne Sockel</vt:lpstr>
      <vt:lpstr>Vergleichsrechner 2014</vt:lpstr>
      <vt:lpstr>Tabelle1</vt:lpstr>
      <vt:lpstr>'Jahresvergleich 2014 und 2015'!Druckbereich</vt:lpstr>
      <vt:lpstr>'Jahresvergleich 2017 und 2018'!Druckbereich</vt:lpstr>
      <vt:lpstr>'Ökosteuer 2012'!Druckbereich</vt:lpstr>
      <vt:lpstr>'Ökosteuer 2012 ohne Sockel'!Druckbereich</vt:lpstr>
      <vt:lpstr>'Ökosteuer 2014'!Druckbereich</vt:lpstr>
      <vt:lpstr>'Ökosteuer 2015'!Druckbereich</vt:lpstr>
      <vt:lpstr>'Ökosteuer 2017'!Druckbereich</vt:lpstr>
      <vt:lpstr>'Ökosteuer 2018'!Druckbereich</vt:lpstr>
      <vt:lpstr>'Vergleichsrechner 2014'!Druckbereich</vt:lpstr>
      <vt:lpstr>'Vergleichsrechner 2017'!Druckbereich</vt:lpstr>
      <vt:lpstr>'Vergleichsrechner 2018'!Druckbereich</vt:lpstr>
    </vt:vector>
  </TitlesOfParts>
  <Company>IHK Lippe zu Detmold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Carl</dc:creator>
  <cp:lastModifiedBy>Rolf Krause</cp:lastModifiedBy>
  <cp:lastPrinted>2013-01-03T15:41:30Z</cp:lastPrinted>
  <dcterms:created xsi:type="dcterms:W3CDTF">1999-06-11T13:05:19Z</dcterms:created>
  <dcterms:modified xsi:type="dcterms:W3CDTF">2018-01-30T09:14:01Z</dcterms:modified>
</cp:coreProperties>
</file>